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385" windowWidth="11445" windowHeight="5310" tabRatio="736"/>
  </bookViews>
  <sheets>
    <sheet name="Bendras sąrašas" sheetId="7" r:id="rId1"/>
    <sheet name="Po susirinkimų" sheetId="2" r:id="rId2"/>
    <sheet name="Kiti renovuoti daugiabučiai" sheetId="5" r:id="rId3"/>
    <sheet name="Savivaldybės butai" sheetId="3" r:id="rId4"/>
    <sheet name="Savivaldybės butai II" sheetId="4" r:id="rId5"/>
    <sheet name="Visi daugiabučiai" sheetId="6" r:id="rId6"/>
    <sheet name="Senas sąrašas" sheetId="1" r:id="rId7"/>
  </sheets>
  <definedNames>
    <definedName name="_xlnm.Print_Area" localSheetId="0">'Bendras sąrašas'!$A$1:$S$176</definedName>
    <definedName name="_xlnm.Print_Area" localSheetId="6">'Senas sąrašas'!$A$1:$S$159</definedName>
  </definedNames>
  <calcPr calcId="145621"/>
</workbook>
</file>

<file path=xl/calcChain.xml><?xml version="1.0" encoding="utf-8"?>
<calcChain xmlns="http://schemas.openxmlformats.org/spreadsheetml/2006/main">
  <c r="N127" i="7" l="1"/>
  <c r="M127" i="7"/>
  <c r="K127" i="7"/>
  <c r="G94" i="7"/>
  <c r="H123" i="7"/>
  <c r="N123" i="7"/>
  <c r="M123" i="7"/>
  <c r="K123" i="7"/>
  <c r="J123" i="7"/>
  <c r="C123" i="7"/>
  <c r="D123" i="7"/>
  <c r="I93" i="3" l="1"/>
  <c r="G93" i="3"/>
  <c r="E93" i="3"/>
  <c r="F89" i="3"/>
  <c r="F93" i="3" s="1"/>
  <c r="J89" i="3"/>
  <c r="J93" i="3"/>
  <c r="D93" i="3"/>
  <c r="C93" i="3"/>
  <c r="F88" i="3"/>
  <c r="J88" i="3"/>
  <c r="F87" i="3"/>
  <c r="J87" i="3"/>
  <c r="Q12" i="7"/>
  <c r="G99" i="7" l="1"/>
  <c r="I123" i="7" l="1"/>
  <c r="G119" i="7" l="1"/>
  <c r="G118" i="7"/>
  <c r="G117" i="7"/>
  <c r="G121" i="7"/>
  <c r="G112" i="7"/>
  <c r="G115" i="7"/>
  <c r="G113" i="7"/>
  <c r="G108" i="7"/>
  <c r="G102" i="7"/>
  <c r="G103" i="7"/>
  <c r="G111" i="7"/>
  <c r="G107" i="7"/>
  <c r="G98" i="7"/>
  <c r="G101" i="7"/>
  <c r="G114" i="7"/>
  <c r="G97" i="7"/>
  <c r="G104" i="7"/>
  <c r="G100" i="7" l="1"/>
  <c r="G96" i="7"/>
  <c r="G120" i="7"/>
  <c r="G116" i="7"/>
  <c r="G91" i="7" l="1"/>
  <c r="G123" i="7" s="1"/>
  <c r="G126" i="7" s="1"/>
  <c r="G127" i="7" s="1"/>
  <c r="G110" i="7"/>
  <c r="G92" i="7"/>
  <c r="G95" i="7"/>
  <c r="G106" i="7"/>
  <c r="G93" i="7"/>
  <c r="G109" i="7"/>
  <c r="G105" i="7"/>
  <c r="G22" i="7"/>
  <c r="G89" i="7"/>
  <c r="J89" i="7" l="1"/>
  <c r="J90" i="7"/>
  <c r="J85" i="7" l="1"/>
  <c r="J86" i="7"/>
  <c r="J87" i="7"/>
  <c r="J88" i="7"/>
  <c r="J84" i="7"/>
  <c r="J22" i="7"/>
  <c r="G85" i="7" l="1"/>
  <c r="G90" i="7"/>
  <c r="G84" i="7"/>
  <c r="G87" i="7"/>
  <c r="G88" i="7"/>
  <c r="G86" i="7"/>
  <c r="G82" i="7"/>
  <c r="G83" i="7"/>
  <c r="G80" i="7"/>
  <c r="F137" i="4" l="1"/>
  <c r="R51" i="7" l="1"/>
  <c r="R47" i="7"/>
  <c r="A126" i="7" l="1"/>
  <c r="F86" i="3" l="1"/>
  <c r="J86" i="3"/>
  <c r="F85" i="3"/>
  <c r="J85" i="3"/>
  <c r="F84" i="3"/>
  <c r="J84" i="3"/>
  <c r="H93" i="3" l="1"/>
  <c r="F83" i="3"/>
  <c r="J83" i="3"/>
  <c r="F82" i="3"/>
  <c r="J82" i="3"/>
  <c r="C81" i="5"/>
  <c r="F81" i="3" l="1"/>
  <c r="J81" i="3"/>
  <c r="J6" i="7" l="1"/>
  <c r="J79" i="7"/>
  <c r="J73" i="7" l="1"/>
  <c r="J68" i="7"/>
  <c r="M35" i="7" l="1"/>
  <c r="J16" i="3" l="1"/>
  <c r="J20" i="7" l="1"/>
  <c r="J12" i="7"/>
  <c r="F80" i="3"/>
  <c r="J80" i="3"/>
  <c r="F79" i="3"/>
  <c r="J79" i="3"/>
  <c r="F78" i="3"/>
  <c r="J78" i="3"/>
  <c r="F77" i="3"/>
  <c r="J77" i="3"/>
  <c r="F76" i="3"/>
  <c r="J76" i="3"/>
  <c r="F75" i="3"/>
  <c r="J75" i="3"/>
  <c r="F74" i="3" l="1"/>
  <c r="J74" i="3"/>
  <c r="F73" i="3"/>
  <c r="J73" i="3"/>
  <c r="Q79" i="7"/>
  <c r="Q81" i="7"/>
  <c r="I35" i="7" l="1"/>
  <c r="L75" i="7"/>
  <c r="L55" i="7"/>
  <c r="L35" i="7"/>
  <c r="A127" i="7"/>
  <c r="G143" i="7"/>
  <c r="G142" i="7"/>
  <c r="G141" i="7"/>
  <c r="G140" i="7"/>
  <c r="G139" i="7"/>
  <c r="G138" i="7"/>
  <c r="G137" i="7"/>
  <c r="G136" i="7"/>
  <c r="G135" i="7"/>
  <c r="L123" i="7"/>
  <c r="Q83" i="7"/>
  <c r="J83" i="7"/>
  <c r="Q82" i="7"/>
  <c r="J82" i="7"/>
  <c r="G81" i="7"/>
  <c r="Q80" i="7"/>
  <c r="J80" i="7"/>
  <c r="G79" i="7"/>
  <c r="Q78" i="7"/>
  <c r="J78" i="7"/>
  <c r="G78" i="7"/>
  <c r="N75" i="7"/>
  <c r="M75" i="7"/>
  <c r="I75" i="7"/>
  <c r="H75" i="7"/>
  <c r="D75" i="7"/>
  <c r="C75" i="7"/>
  <c r="R74" i="7"/>
  <c r="J74" i="7"/>
  <c r="G74" i="7"/>
  <c r="G73" i="7"/>
  <c r="R72" i="7"/>
  <c r="J72" i="7"/>
  <c r="G72" i="7"/>
  <c r="R71" i="7"/>
  <c r="J71" i="7"/>
  <c r="G71" i="7"/>
  <c r="R70" i="7"/>
  <c r="J70" i="7"/>
  <c r="G70" i="7"/>
  <c r="Q69" i="7"/>
  <c r="J69" i="7"/>
  <c r="G69" i="7"/>
  <c r="G68" i="7"/>
  <c r="R67" i="7"/>
  <c r="J67" i="7"/>
  <c r="G67" i="7"/>
  <c r="Q66" i="7"/>
  <c r="J66" i="7"/>
  <c r="G66" i="7"/>
  <c r="Q65" i="7"/>
  <c r="J65" i="7"/>
  <c r="G65" i="7"/>
  <c r="J64" i="7"/>
  <c r="G64" i="7"/>
  <c r="Q63" i="7"/>
  <c r="J63" i="7"/>
  <c r="G63" i="7"/>
  <c r="J62" i="7"/>
  <c r="G62" i="7"/>
  <c r="R61" i="7"/>
  <c r="J61" i="7"/>
  <c r="G61" i="7"/>
  <c r="R60" i="7"/>
  <c r="J60" i="7"/>
  <c r="G60" i="7"/>
  <c r="R59" i="7"/>
  <c r="J59" i="7"/>
  <c r="G59" i="7"/>
  <c r="R58" i="7"/>
  <c r="K58" i="7"/>
  <c r="K75" i="7" s="1"/>
  <c r="G58" i="7"/>
  <c r="N55" i="7"/>
  <c r="M55" i="7"/>
  <c r="I55" i="7"/>
  <c r="H55" i="7"/>
  <c r="D55" i="7"/>
  <c r="C55" i="7"/>
  <c r="K54" i="7"/>
  <c r="J54" i="7" s="1"/>
  <c r="G54" i="7"/>
  <c r="K53" i="7"/>
  <c r="G53" i="7"/>
  <c r="Q52" i="7"/>
  <c r="K52" i="7"/>
  <c r="J52" i="7" s="1"/>
  <c r="G52" i="7"/>
  <c r="G51" i="7"/>
  <c r="K50" i="7"/>
  <c r="J50" i="7" s="1"/>
  <c r="Q49" i="7"/>
  <c r="K49" i="7"/>
  <c r="J49" i="7" s="1"/>
  <c r="G49" i="7"/>
  <c r="Q48" i="7"/>
  <c r="J48" i="7"/>
  <c r="G48" i="7"/>
  <c r="Q47" i="7"/>
  <c r="J47" i="7"/>
  <c r="G47" i="7"/>
  <c r="Q46" i="7"/>
  <c r="J46" i="7"/>
  <c r="Q45" i="7"/>
  <c r="J45" i="7"/>
  <c r="G45" i="7"/>
  <c r="Q44" i="7"/>
  <c r="J44" i="7"/>
  <c r="G44" i="7"/>
  <c r="Q43" i="7"/>
  <c r="K43" i="7"/>
  <c r="J43" i="7" s="1"/>
  <c r="G43" i="7"/>
  <c r="Q42" i="7"/>
  <c r="J42" i="7"/>
  <c r="G42" i="7"/>
  <c r="Q41" i="7"/>
  <c r="K41" i="7"/>
  <c r="J41" i="7" s="1"/>
  <c r="G41" i="7"/>
  <c r="Q40" i="7"/>
  <c r="K40" i="7"/>
  <c r="G40" i="7"/>
  <c r="Q39" i="7"/>
  <c r="J39" i="7"/>
  <c r="G39" i="7"/>
  <c r="Q38" i="7"/>
  <c r="G38" i="7"/>
  <c r="N35" i="7"/>
  <c r="H35" i="7"/>
  <c r="H126" i="7" s="1"/>
  <c r="D35" i="7"/>
  <c r="C35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J24" i="7"/>
  <c r="K24" i="7" s="1"/>
  <c r="G24" i="7"/>
  <c r="K23" i="7"/>
  <c r="G23" i="7"/>
  <c r="G21" i="7"/>
  <c r="G20" i="7"/>
  <c r="K19" i="7"/>
  <c r="G19" i="7"/>
  <c r="Q18" i="7"/>
  <c r="K18" i="7"/>
  <c r="G18" i="7"/>
  <c r="K17" i="7"/>
  <c r="G17" i="7"/>
  <c r="K16" i="7"/>
  <c r="G16" i="7"/>
  <c r="K15" i="7"/>
  <c r="G15" i="7"/>
  <c r="K14" i="7"/>
  <c r="G14" i="7"/>
  <c r="K13" i="7"/>
  <c r="G13" i="7"/>
  <c r="G12" i="7"/>
  <c r="G11" i="7"/>
  <c r="K10" i="7"/>
  <c r="G10" i="7"/>
  <c r="G9" i="7"/>
  <c r="Q8" i="7"/>
  <c r="K8" i="7"/>
  <c r="G8" i="7"/>
  <c r="J7" i="7"/>
  <c r="G7" i="7"/>
  <c r="G6" i="7"/>
  <c r="K5" i="7"/>
  <c r="G5" i="7"/>
  <c r="K4" i="7"/>
  <c r="G4" i="7"/>
  <c r="K3" i="7"/>
  <c r="G3" i="7"/>
  <c r="A116" i="2"/>
  <c r="L85" i="5"/>
  <c r="D126" i="7" l="1"/>
  <c r="D127" i="7" s="1"/>
  <c r="C126" i="7"/>
  <c r="C127" i="7" s="1"/>
  <c r="D125" i="7"/>
  <c r="I126" i="7"/>
  <c r="C125" i="7"/>
  <c r="M126" i="7"/>
  <c r="J35" i="7"/>
  <c r="N126" i="7"/>
  <c r="G55" i="7"/>
  <c r="G35" i="7"/>
  <c r="K35" i="7"/>
  <c r="G75" i="7"/>
  <c r="K55" i="7"/>
  <c r="J55" i="7"/>
  <c r="J58" i="7"/>
  <c r="J75" i="7" s="1"/>
  <c r="I127" i="7" l="1"/>
  <c r="J126" i="7"/>
  <c r="J127" i="7" s="1"/>
  <c r="K126" i="7"/>
  <c r="H127" i="7"/>
  <c r="E150" i="4" l="1"/>
  <c r="G27" i="2" l="1"/>
  <c r="G49" i="2"/>
  <c r="G9" i="2"/>
  <c r="G20" i="2"/>
  <c r="G22" i="2"/>
  <c r="G21" i="2"/>
  <c r="N152" i="1"/>
  <c r="H152" i="1"/>
  <c r="I152" i="1"/>
  <c r="G152" i="1"/>
  <c r="Q88" i="1"/>
  <c r="G151" i="1"/>
  <c r="G146" i="1" l="1"/>
  <c r="G149" i="1"/>
  <c r="G109" i="1"/>
  <c r="G111" i="1"/>
  <c r="G110" i="1"/>
  <c r="F72" i="3" l="1"/>
  <c r="J72" i="3"/>
  <c r="F71" i="3"/>
  <c r="J71" i="3"/>
  <c r="G97" i="1" l="1"/>
  <c r="G14" i="1"/>
  <c r="G103" i="1"/>
  <c r="G96" i="1"/>
  <c r="F70" i="3" l="1"/>
  <c r="J70" i="3"/>
  <c r="F69" i="3"/>
  <c r="J69" i="3"/>
  <c r="F68" i="3"/>
  <c r="J68" i="3"/>
  <c r="F67" i="3"/>
  <c r="J67" i="3"/>
  <c r="G114" i="1" l="1"/>
  <c r="G78" i="2"/>
  <c r="G47" i="2"/>
  <c r="G94" i="1" l="1"/>
  <c r="G90" i="1"/>
  <c r="G81" i="1"/>
  <c r="G7" i="1"/>
  <c r="G47" i="1"/>
  <c r="G83" i="1"/>
  <c r="G69" i="1"/>
  <c r="G68" i="1"/>
  <c r="G40" i="1"/>
  <c r="G65" i="1"/>
  <c r="G95" i="1"/>
  <c r="G26" i="1"/>
  <c r="G3" i="1" l="1"/>
  <c r="F66" i="3"/>
  <c r="J66" i="3"/>
  <c r="F65" i="3"/>
  <c r="J65" i="3"/>
  <c r="G86" i="2" l="1"/>
  <c r="G82" i="2"/>
  <c r="M146" i="1"/>
  <c r="N146" i="1"/>
  <c r="L146" i="1"/>
  <c r="K146" i="1"/>
  <c r="I146" i="1"/>
  <c r="H146" i="1"/>
  <c r="D146" i="1"/>
  <c r="C146" i="1"/>
  <c r="F64" i="3" l="1"/>
  <c r="J64" i="3"/>
  <c r="J63" i="3"/>
  <c r="F63" i="3"/>
  <c r="F62" i="3"/>
  <c r="J62" i="3"/>
  <c r="F61" i="3"/>
  <c r="J61" i="3"/>
  <c r="F60" i="3"/>
  <c r="J60" i="3"/>
  <c r="J59" i="3"/>
  <c r="J55" i="3"/>
  <c r="J56" i="3"/>
  <c r="J57" i="3"/>
  <c r="J58" i="3"/>
  <c r="F55" i="3"/>
  <c r="F56" i="3"/>
  <c r="F57" i="3"/>
  <c r="F58" i="3"/>
  <c r="F59" i="3"/>
  <c r="J54" i="3"/>
  <c r="F54" i="3"/>
  <c r="F53" i="3" l="1"/>
  <c r="J53" i="3"/>
  <c r="F52" i="3"/>
  <c r="J52" i="3"/>
  <c r="F51" i="3"/>
  <c r="J51" i="3"/>
  <c r="G166" i="1" l="1"/>
  <c r="G165" i="1"/>
  <c r="G160" i="1"/>
  <c r="G161" i="1"/>
  <c r="G162" i="1"/>
  <c r="G163" i="1"/>
  <c r="G164" i="1"/>
  <c r="G167" i="1"/>
  <c r="G168" i="1"/>
  <c r="F50" i="3"/>
  <c r="J50" i="3"/>
  <c r="F49" i="3"/>
  <c r="J49" i="3"/>
  <c r="F48" i="3"/>
  <c r="J48" i="3"/>
  <c r="A149" i="1"/>
  <c r="G24" i="1"/>
  <c r="G45" i="1"/>
  <c r="G146" i="4" l="1"/>
  <c r="K69" i="2"/>
  <c r="F47" i="3" l="1"/>
  <c r="J47" i="3"/>
  <c r="F46" i="3"/>
  <c r="J46" i="3"/>
  <c r="F45" i="3"/>
  <c r="J44" i="3"/>
  <c r="J45" i="3"/>
  <c r="F44" i="3"/>
  <c r="F43" i="3"/>
  <c r="J43" i="3"/>
  <c r="J40" i="3" l="1"/>
  <c r="J41" i="3"/>
  <c r="J42" i="3"/>
  <c r="F40" i="3"/>
  <c r="F41" i="3"/>
  <c r="F42" i="3"/>
  <c r="F39" i="3" l="1"/>
  <c r="J39" i="3"/>
  <c r="J115" i="1"/>
  <c r="J88" i="1"/>
  <c r="G86" i="5" l="1"/>
  <c r="G18" i="1" l="1"/>
  <c r="F63" i="5" l="1"/>
  <c r="J69" i="2"/>
  <c r="J3" i="3"/>
  <c r="J4" i="3"/>
  <c r="J5" i="3"/>
  <c r="J6" i="3"/>
  <c r="J7" i="3"/>
  <c r="J8" i="3"/>
  <c r="J9" i="3"/>
  <c r="J10" i="3"/>
  <c r="J11" i="3"/>
  <c r="J12" i="3"/>
  <c r="J13" i="3"/>
  <c r="J14" i="3"/>
  <c r="J15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17" i="3"/>
  <c r="J18" i="3"/>
  <c r="J19" i="3"/>
  <c r="J20" i="3"/>
  <c r="J21" i="3"/>
  <c r="F21" i="3"/>
  <c r="F20" i="3"/>
  <c r="F19" i="3"/>
  <c r="F18" i="3"/>
  <c r="F17" i="3"/>
  <c r="L86" i="5" l="1"/>
  <c r="H86" i="5"/>
  <c r="I86" i="5"/>
  <c r="J86" i="5"/>
  <c r="K86" i="5"/>
  <c r="K87" i="5"/>
  <c r="L87" i="5"/>
  <c r="L90" i="5"/>
  <c r="C79" i="5"/>
  <c r="C78" i="5"/>
  <c r="L89" i="5"/>
  <c r="K85" i="5"/>
  <c r="C73" i="5"/>
  <c r="C74" i="5"/>
  <c r="C75" i="5"/>
  <c r="C76" i="5"/>
  <c r="C71" i="5"/>
  <c r="Q72" i="1"/>
  <c r="Q73" i="1"/>
  <c r="G73" i="2"/>
  <c r="G16" i="2"/>
  <c r="G12" i="1"/>
  <c r="G88" i="1" l="1"/>
  <c r="J108" i="1" l="1"/>
  <c r="J112" i="1" l="1"/>
  <c r="K474" i="6" l="1"/>
  <c r="J116" i="1" l="1"/>
  <c r="J146" i="1" s="1"/>
  <c r="F16" i="3" l="1"/>
  <c r="Q22" i="1" l="1"/>
  <c r="L72" i="5"/>
  <c r="L77" i="5" l="1"/>
  <c r="C72" i="5"/>
  <c r="K89" i="5"/>
  <c r="L69" i="5"/>
  <c r="C153" i="4"/>
  <c r="E153" i="4" s="1"/>
  <c r="F13" i="3" l="1"/>
  <c r="F14" i="3"/>
  <c r="F15" i="3"/>
  <c r="F12" i="3"/>
  <c r="F11" i="3"/>
  <c r="F10" i="3"/>
  <c r="F7" i="3"/>
  <c r="F5" i="3"/>
  <c r="F6" i="3"/>
  <c r="F9" i="3" l="1"/>
  <c r="F8" i="3"/>
  <c r="G112" i="1" l="1"/>
  <c r="G8" i="2" l="1"/>
  <c r="Q9" i="1" l="1"/>
  <c r="E149" i="4" l="1"/>
  <c r="E154" i="4" s="1"/>
  <c r="D146" i="4"/>
  <c r="C151" i="4" s="1"/>
  <c r="F145" i="4"/>
  <c r="E145" i="4"/>
  <c r="F144" i="4"/>
  <c r="F143" i="4"/>
  <c r="E143" i="4"/>
  <c r="F142" i="4"/>
  <c r="E142" i="4"/>
  <c r="F141" i="4"/>
  <c r="E141" i="4"/>
  <c r="F140" i="4"/>
  <c r="E140" i="4"/>
  <c r="F139" i="4"/>
  <c r="E139" i="4"/>
  <c r="F138" i="4"/>
  <c r="F136" i="4"/>
  <c r="F135" i="4"/>
  <c r="E135" i="4"/>
  <c r="F134" i="4"/>
  <c r="F133" i="4"/>
  <c r="F132" i="4"/>
  <c r="F131" i="4"/>
  <c r="F130" i="4"/>
  <c r="F129" i="4"/>
  <c r="F128" i="4"/>
  <c r="F127" i="4"/>
  <c r="F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F110" i="4"/>
  <c r="F109" i="4"/>
  <c r="F108" i="4"/>
  <c r="F107" i="4"/>
  <c r="F104" i="4"/>
  <c r="F100" i="4"/>
  <c r="E100" i="4"/>
  <c r="F99" i="4"/>
  <c r="F98" i="4"/>
  <c r="F97" i="4"/>
  <c r="F96" i="4"/>
  <c r="E96" i="4"/>
  <c r="F95" i="4"/>
  <c r="E95" i="4"/>
  <c r="F94" i="4"/>
  <c r="E94" i="4"/>
  <c r="F93" i="4"/>
  <c r="E93" i="4"/>
  <c r="F92" i="4"/>
  <c r="F91" i="4"/>
  <c r="F90" i="4"/>
  <c r="F89" i="4"/>
  <c r="F85" i="4"/>
  <c r="E85" i="4"/>
  <c r="F84" i="4"/>
  <c r="E84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F72" i="4"/>
  <c r="F71" i="4"/>
  <c r="F70" i="4"/>
  <c r="F69" i="4"/>
  <c r="F68" i="4"/>
  <c r="F65" i="4"/>
  <c r="E65" i="4"/>
  <c r="F64" i="4"/>
  <c r="E64" i="4"/>
  <c r="F60" i="4"/>
  <c r="F59" i="4"/>
  <c r="F58" i="4"/>
  <c r="E58" i="4"/>
  <c r="F57" i="4"/>
  <c r="E57" i="4"/>
  <c r="F56" i="4"/>
  <c r="E56" i="4"/>
  <c r="F55" i="4"/>
  <c r="E55" i="4"/>
  <c r="F54" i="4"/>
  <c r="F53" i="4"/>
  <c r="F52" i="4"/>
  <c r="F51" i="4"/>
  <c r="F50" i="4"/>
  <c r="F49" i="4"/>
  <c r="E49" i="4"/>
  <c r="F48" i="4"/>
  <c r="E48" i="4"/>
  <c r="F47" i="4"/>
  <c r="E47" i="4"/>
  <c r="F46" i="4"/>
  <c r="E46" i="4"/>
  <c r="F40" i="4"/>
  <c r="E40" i="4"/>
  <c r="F39" i="4"/>
  <c r="E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3" i="4"/>
  <c r="F12" i="4"/>
  <c r="F11" i="4"/>
  <c r="F10" i="4"/>
  <c r="F9" i="4"/>
  <c r="F8" i="4"/>
  <c r="E8" i="4"/>
  <c r="F7" i="4"/>
  <c r="E7" i="4"/>
  <c r="F6" i="4"/>
  <c r="F5" i="4"/>
  <c r="F4" i="4"/>
  <c r="F3" i="4"/>
  <c r="F2" i="4"/>
  <c r="K90" i="5"/>
  <c r="J90" i="5"/>
  <c r="I90" i="5"/>
  <c r="H90" i="5"/>
  <c r="J89" i="5"/>
  <c r="I89" i="5"/>
  <c r="H89" i="5"/>
  <c r="G89" i="5"/>
  <c r="F89" i="5"/>
  <c r="E89" i="5"/>
  <c r="D89" i="5"/>
  <c r="L88" i="5"/>
  <c r="K88" i="5"/>
  <c r="J88" i="5"/>
  <c r="I88" i="5"/>
  <c r="H88" i="5"/>
  <c r="G88" i="5"/>
  <c r="F88" i="5"/>
  <c r="E88" i="5"/>
  <c r="D88" i="5"/>
  <c r="J87" i="5"/>
  <c r="I87" i="5"/>
  <c r="H87" i="5"/>
  <c r="G87" i="5"/>
  <c r="F87" i="5"/>
  <c r="E87" i="5"/>
  <c r="D87" i="5"/>
  <c r="F86" i="5"/>
  <c r="E86" i="5"/>
  <c r="D86" i="5"/>
  <c r="J85" i="5"/>
  <c r="I85" i="5"/>
  <c r="H85" i="5"/>
  <c r="G85" i="5"/>
  <c r="F85" i="5"/>
  <c r="E85" i="5"/>
  <c r="D85" i="5"/>
  <c r="E84" i="5"/>
  <c r="D84" i="5"/>
  <c r="C84" i="5"/>
  <c r="J77" i="5"/>
  <c r="I77" i="5"/>
  <c r="H77" i="5"/>
  <c r="G77" i="5"/>
  <c r="F77" i="5"/>
  <c r="G84" i="5" s="1"/>
  <c r="E77" i="5"/>
  <c r="D77" i="5"/>
  <c r="K72" i="5"/>
  <c r="K77" i="5" s="1"/>
  <c r="J72" i="5"/>
  <c r="I72" i="5"/>
  <c r="H72" i="5"/>
  <c r="G72" i="5"/>
  <c r="F72" i="5"/>
  <c r="E72" i="5"/>
  <c r="D72" i="5"/>
  <c r="C70" i="5"/>
  <c r="K69" i="5"/>
  <c r="J69" i="5"/>
  <c r="I69" i="5"/>
  <c r="H69" i="5"/>
  <c r="G69" i="5"/>
  <c r="F69" i="5"/>
  <c r="E69" i="5"/>
  <c r="D69" i="5"/>
  <c r="C69" i="5"/>
  <c r="C68" i="5"/>
  <c r="C77" i="5" s="1"/>
  <c r="F4" i="3"/>
  <c r="F3" i="3"/>
  <c r="G114" i="2"/>
  <c r="G113" i="2"/>
  <c r="G112" i="2"/>
  <c r="G111" i="2"/>
  <c r="G110" i="2"/>
  <c r="G106" i="2"/>
  <c r="G105" i="2"/>
  <c r="G104" i="2"/>
  <c r="G101" i="2"/>
  <c r="G98" i="2"/>
  <c r="G97" i="2"/>
  <c r="G95" i="2"/>
  <c r="G94" i="2"/>
  <c r="G93" i="2"/>
  <c r="G92" i="2"/>
  <c r="G90" i="2"/>
  <c r="G89" i="2"/>
  <c r="G88" i="2"/>
  <c r="G87" i="2"/>
  <c r="G83" i="2"/>
  <c r="G77" i="2"/>
  <c r="G76" i="2"/>
  <c r="G75" i="2"/>
  <c r="G74" i="2"/>
  <c r="I69" i="2"/>
  <c r="H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3" i="2"/>
  <c r="G52" i="2"/>
  <c r="G51" i="2"/>
  <c r="G50" i="2"/>
  <c r="G48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3" i="2"/>
  <c r="G19" i="2"/>
  <c r="G18" i="2"/>
  <c r="G17" i="2"/>
  <c r="G15" i="2"/>
  <c r="G14" i="2"/>
  <c r="G13" i="2"/>
  <c r="G12" i="2"/>
  <c r="G11" i="2"/>
  <c r="G7" i="2"/>
  <c r="G6" i="2"/>
  <c r="G5" i="2"/>
  <c r="G4" i="2"/>
  <c r="G3" i="2"/>
  <c r="A150" i="1"/>
  <c r="Q116" i="1"/>
  <c r="G116" i="1"/>
  <c r="Q115" i="1"/>
  <c r="G115" i="1"/>
  <c r="Q113" i="1"/>
  <c r="G113" i="1"/>
  <c r="Q112" i="1"/>
  <c r="Q108" i="1"/>
  <c r="G108" i="1"/>
  <c r="N105" i="1"/>
  <c r="M105" i="1"/>
  <c r="I105" i="1"/>
  <c r="H105" i="1"/>
  <c r="D105" i="1"/>
  <c r="C105" i="1"/>
  <c r="R104" i="1"/>
  <c r="J104" i="1"/>
  <c r="G104" i="1"/>
  <c r="R102" i="1"/>
  <c r="J102" i="1"/>
  <c r="G102" i="1"/>
  <c r="R101" i="1"/>
  <c r="J101" i="1"/>
  <c r="G101" i="1"/>
  <c r="R100" i="1"/>
  <c r="J100" i="1"/>
  <c r="G100" i="1"/>
  <c r="G99" i="1"/>
  <c r="Q98" i="1"/>
  <c r="J98" i="1"/>
  <c r="G98" i="1"/>
  <c r="R93" i="1"/>
  <c r="J93" i="1"/>
  <c r="G93" i="1"/>
  <c r="Q92" i="1"/>
  <c r="J92" i="1"/>
  <c r="G92" i="1"/>
  <c r="Q91" i="1"/>
  <c r="J91" i="1"/>
  <c r="G91" i="1"/>
  <c r="J89" i="1"/>
  <c r="G89" i="1"/>
  <c r="J87" i="1"/>
  <c r="G87" i="1"/>
  <c r="R86" i="1"/>
  <c r="J86" i="1"/>
  <c r="G86" i="1"/>
  <c r="R85" i="1"/>
  <c r="J85" i="1"/>
  <c r="G85" i="1"/>
  <c r="R84" i="1"/>
  <c r="J84" i="1"/>
  <c r="G84" i="1"/>
  <c r="R82" i="1"/>
  <c r="K82" i="1"/>
  <c r="K105" i="1" s="1"/>
  <c r="J82" i="1"/>
  <c r="G82" i="1"/>
  <c r="N78" i="1"/>
  <c r="M78" i="1"/>
  <c r="I78" i="1"/>
  <c r="H78" i="1"/>
  <c r="D78" i="1"/>
  <c r="C78" i="1"/>
  <c r="K77" i="1"/>
  <c r="J77" i="1" s="1"/>
  <c r="G77" i="1"/>
  <c r="K76" i="1"/>
  <c r="G76" i="1"/>
  <c r="Q74" i="1"/>
  <c r="G74" i="1"/>
  <c r="G73" i="1"/>
  <c r="K72" i="1"/>
  <c r="J72" i="1" s="1"/>
  <c r="G72" i="1"/>
  <c r="G71" i="1"/>
  <c r="K70" i="1"/>
  <c r="J70" i="1" s="1"/>
  <c r="Q69" i="1"/>
  <c r="K69" i="1"/>
  <c r="J69" i="1" s="1"/>
  <c r="Q68" i="1"/>
  <c r="Q67" i="1"/>
  <c r="J67" i="1"/>
  <c r="G67" i="1"/>
  <c r="Q66" i="1"/>
  <c r="G66" i="1"/>
  <c r="Q65" i="1"/>
  <c r="Q64" i="1"/>
  <c r="G64" i="1"/>
  <c r="Q63" i="1"/>
  <c r="J63" i="1"/>
  <c r="G63" i="1"/>
  <c r="Q62" i="1"/>
  <c r="J62" i="1"/>
  <c r="Q61" i="1"/>
  <c r="J61" i="1"/>
  <c r="G61" i="1"/>
  <c r="Q60" i="1"/>
  <c r="G60" i="1"/>
  <c r="Q59" i="1"/>
  <c r="J59" i="1"/>
  <c r="G59" i="1"/>
  <c r="Q58" i="1"/>
  <c r="K58" i="1"/>
  <c r="J58" i="1" s="1"/>
  <c r="G58" i="1"/>
  <c r="Q57" i="1"/>
  <c r="J57" i="1"/>
  <c r="G57" i="1"/>
  <c r="Q56" i="1"/>
  <c r="K56" i="1"/>
  <c r="J56" i="1" s="1"/>
  <c r="G56" i="1"/>
  <c r="Q55" i="1"/>
  <c r="K55" i="1"/>
  <c r="G55" i="1"/>
  <c r="Q54" i="1"/>
  <c r="J54" i="1"/>
  <c r="G54" i="1"/>
  <c r="Q53" i="1"/>
  <c r="G53" i="1"/>
  <c r="Q52" i="1"/>
  <c r="Q51" i="1"/>
  <c r="G51" i="1"/>
  <c r="N48" i="1"/>
  <c r="M48" i="1"/>
  <c r="I48" i="1"/>
  <c r="H48" i="1"/>
  <c r="D48" i="1"/>
  <c r="C48" i="1"/>
  <c r="G46" i="1"/>
  <c r="K44" i="1"/>
  <c r="G44" i="1"/>
  <c r="K43" i="1"/>
  <c r="G43" i="1"/>
  <c r="K41" i="1"/>
  <c r="G41" i="1"/>
  <c r="K39" i="1"/>
  <c r="G39" i="1"/>
  <c r="K38" i="1"/>
  <c r="G38" i="1"/>
  <c r="K36" i="1"/>
  <c r="G36" i="1"/>
  <c r="G35" i="1"/>
  <c r="K33" i="1"/>
  <c r="G33" i="1"/>
  <c r="K31" i="1"/>
  <c r="G31" i="1"/>
  <c r="K30" i="1"/>
  <c r="G30" i="1"/>
  <c r="J29" i="1"/>
  <c r="K29" i="1" s="1"/>
  <c r="G29" i="1"/>
  <c r="K28" i="1"/>
  <c r="G28" i="1"/>
  <c r="G27" i="1"/>
  <c r="K23" i="1"/>
  <c r="G23" i="1"/>
  <c r="K22" i="1"/>
  <c r="G22" i="1"/>
  <c r="K21" i="1"/>
  <c r="G21" i="1"/>
  <c r="G20" i="1"/>
  <c r="K19" i="1"/>
  <c r="G19" i="1"/>
  <c r="K17" i="1"/>
  <c r="G17" i="1"/>
  <c r="K16" i="1"/>
  <c r="G16" i="1"/>
  <c r="K15" i="1"/>
  <c r="G15" i="1"/>
  <c r="G13" i="1"/>
  <c r="K11" i="1"/>
  <c r="G11" i="1"/>
  <c r="G10" i="1"/>
  <c r="K9" i="1"/>
  <c r="G9" i="1"/>
  <c r="J8" i="1"/>
  <c r="G8" i="1"/>
  <c r="K6" i="1"/>
  <c r="G6" i="1"/>
  <c r="K5" i="1"/>
  <c r="G5" i="1"/>
  <c r="K4" i="1"/>
  <c r="G4" i="1"/>
  <c r="E146" i="4" l="1"/>
  <c r="F146" i="4"/>
  <c r="J48" i="1"/>
  <c r="G78" i="1"/>
  <c r="J105" i="1"/>
  <c r="C148" i="1"/>
  <c r="C80" i="5"/>
  <c r="F84" i="5"/>
  <c r="L84" i="5"/>
  <c r="I84" i="5"/>
  <c r="J84" i="5"/>
  <c r="H84" i="5"/>
  <c r="D149" i="1"/>
  <c r="D150" i="1" s="1"/>
  <c r="C149" i="1"/>
  <c r="C150" i="1" s="1"/>
  <c r="N149" i="1"/>
  <c r="N150" i="1" s="1"/>
  <c r="G69" i="2"/>
  <c r="K48" i="1"/>
  <c r="M149" i="1"/>
  <c r="H149" i="1"/>
  <c r="K84" i="5"/>
  <c r="J78" i="1"/>
  <c r="G105" i="1"/>
  <c r="I149" i="1"/>
  <c r="K78" i="1"/>
  <c r="G48" i="1"/>
  <c r="D148" i="1"/>
  <c r="M150" i="1" l="1"/>
  <c r="M152" i="1"/>
  <c r="J149" i="1"/>
  <c r="J150" i="1" s="1"/>
  <c r="I150" i="1"/>
  <c r="I151" i="1"/>
  <c r="H150" i="1"/>
  <c r="H151" i="1"/>
  <c r="K149" i="1"/>
  <c r="K150" i="1" s="1"/>
  <c r="G150" i="1" l="1"/>
</calcChain>
</file>

<file path=xl/comments1.xml><?xml version="1.0" encoding="utf-8"?>
<comments xmlns="http://schemas.openxmlformats.org/spreadsheetml/2006/main">
  <authors>
    <author>Autorius</author>
  </authors>
  <commentList>
    <comment ref="F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K5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6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6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7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8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8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8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A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8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9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A9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9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kvorumo;
2017-12-18 nebuvo kvorumo</t>
        </r>
      </text>
    </comment>
    <comment ref="B9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2015-12-07, 2018-01-04 pritarė IP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2016.01.18, 2018-01-16 pritarė IP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0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2016-02-11, 2018-01-03 pritarė IP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2016-03-10, 2018-01-16 pritarė IP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2016-03-21, 2018-01-11 pritarė IP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2016-03-21, 2018-01-11 pritarė IP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A10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TS dar nėra priimtas</t>
        </r>
      </text>
    </comment>
    <comment ref="B10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2016-08-02, 2018-01-17 pritarė IP
</t>
        </r>
      </text>
    </comment>
    <comment ref="B108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2018-01-22 pritarė IP</t>
        </r>
      </text>
    </comment>
    <comment ref="B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2016-08-10, 2018-01-18 pritarė IP</t>
        </r>
      </text>
    </comment>
    <comment ref="B1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2016-11-02, 2018-01-17 pritarė IP</t>
        </r>
      </text>
    </comment>
    <comment ref="B113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2018-01-18 pritarė IP</t>
        </r>
      </text>
    </comment>
    <comment ref="B114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2018-01-10 pritarė IP</t>
        </r>
      </text>
    </comment>
    <comment ref="B115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16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17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18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19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20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
</t>
        </r>
      </text>
    </comment>
    <comment ref="B121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2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2016-11-07</t>
        </r>
      </text>
    </comment>
    <comment ref="G13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3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4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4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F1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4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7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8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2013.11.27 nebuvo kvorumo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</t>
        </r>
      </text>
    </comment>
    <comment ref="G8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0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</t>
        </r>
      </text>
    </comment>
  </commentList>
</comments>
</file>

<file path=xl/comments3.xml><?xml version="1.0" encoding="utf-8"?>
<comments xmlns="http://schemas.openxmlformats.org/spreadsheetml/2006/main">
  <authors>
    <author>Autorius</author>
  </authors>
  <commentList>
    <comment ref="G1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24,86 € 2016-01 ir 2016-02</t>
        </r>
      </text>
    </comment>
  </commentList>
</comments>
</file>

<file path=xl/comments4.xml><?xml version="1.0" encoding="utf-8"?>
<comments xmlns="http://schemas.openxmlformats.org/spreadsheetml/2006/main">
  <authors>
    <author>Autorius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2013.11.21 neįvykęs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2013-11-27 nebuvo kvorumo. </t>
        </r>
      </text>
    </comment>
    <comment ref="F2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2013-12-03. Kvorumo nebuvo.</t>
        </r>
      </text>
    </comment>
    <comment ref="F4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2013-11-13 nebuvo kvorumo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2016-08-29, pritarė 44,44%</t>
        </r>
      </text>
    </comment>
    <comment ref="F6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
Antras susirinkimas 2015-10-29, pritarė 34 %</t>
        </r>
      </text>
    </comment>
    <comment ref="F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2014-09-15. Pritarė 25%</t>
        </r>
      </text>
    </comment>
    <comment ref="K7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8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2014-09-24, pritarė 37,33%</t>
        </r>
      </text>
    </comment>
    <comment ref="F8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2014-11-11, pritarė 44,44%</t>
        </r>
      </text>
    </comment>
    <comment ref="F8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9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2015-02-25, pritarė 33,33%</t>
        </r>
      </text>
    </comment>
    <comment ref="F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2014-10-29 neįvykęs</t>
        </r>
      </text>
    </comment>
    <comment ref="F9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2014-07-22. Pritarė 46,7 proc.</t>
        </r>
      </text>
    </comment>
    <comment ref="F9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10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10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Antras susirinkimas 2015-04-15. Pritarė 18,42%</t>
        </r>
      </text>
    </comment>
    <comment ref="G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1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2014-12-11. Pritarė 15,56%</t>
        </r>
      </text>
    </comment>
    <comment ref="F1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11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1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1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12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B12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</t>
        </r>
      </text>
    </comment>
    <comment ref="B12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12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</t>
        </r>
      </text>
    </comment>
    <comment ref="B13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</t>
        </r>
      </text>
    </comment>
    <comment ref="B13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
</t>
        </r>
      </text>
    </comment>
    <comment ref="B13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13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B13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3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
</t>
        </r>
      </text>
    </comment>
    <comment ref="B14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</t>
        </r>
      </text>
    </comment>
    <comment ref="G16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</commentList>
</comments>
</file>

<file path=xl/sharedStrings.xml><?xml version="1.0" encoding="utf-8"?>
<sst xmlns="http://schemas.openxmlformats.org/spreadsheetml/2006/main" count="5146" uniqueCount="1166">
  <si>
    <t>Eil. Nr.</t>
  </si>
  <si>
    <t>Adresas</t>
  </si>
  <si>
    <t>Susirinkimo data</t>
  </si>
  <si>
    <t>Bankas</t>
  </si>
  <si>
    <t>Vasario 16-osios g. 18, Jonava</t>
  </si>
  <si>
    <t>Vilniaus g. 40, Jonava</t>
  </si>
  <si>
    <t>Parko g. 1, Jonava</t>
  </si>
  <si>
    <t>Kosmonautų g. 4, Jonava</t>
  </si>
  <si>
    <t>Panerių g. 17, Jonava</t>
  </si>
  <si>
    <t>Kauno g. 93, Jonava</t>
  </si>
  <si>
    <t>Žalioji g. 6, Jonava</t>
  </si>
  <si>
    <t>Kosmonautų g. 18, Jonava</t>
  </si>
  <si>
    <t>Vilniaus g. 33, Jonava</t>
  </si>
  <si>
    <t>Pergalės g. 4, Šveicarija</t>
  </si>
  <si>
    <t>Parko g. 3, Jonava</t>
  </si>
  <si>
    <t>Rupeikio g. 5, Rukla</t>
  </si>
  <si>
    <t>Žalioji g. 8, Jonava</t>
  </si>
  <si>
    <t>Žeimių takas 4a, Jonava</t>
  </si>
  <si>
    <t>Lietavos g. 29, Jonava</t>
  </si>
  <si>
    <t>Panerių g. 15, Jonava</t>
  </si>
  <si>
    <t>Chemikų g. 25, Jonava</t>
  </si>
  <si>
    <t>Žemaitės g. 18 II sekcija, Jonava</t>
  </si>
  <si>
    <t>Chemikų g. 29, Jonava</t>
  </si>
  <si>
    <t>Chemikų g. 55, Jonava</t>
  </si>
  <si>
    <t>Kauno g. 68, Jonava</t>
  </si>
  <si>
    <t>Fabriko g. 14, Jonava</t>
  </si>
  <si>
    <t>Vilniaus g. 29, Jonava</t>
  </si>
  <si>
    <t>Kosmonautų g. 3b, Jonava</t>
  </si>
  <si>
    <t>Chemikų g. 24, Jonava</t>
  </si>
  <si>
    <t>Kosmonautų g. 16, Jonava</t>
  </si>
  <si>
    <t>Kauno g. 94, Jonava</t>
  </si>
  <si>
    <t>Vilniaus g. 31, Jonava</t>
  </si>
  <si>
    <t>Chemikų g. 130, Jonava</t>
  </si>
  <si>
    <t>Vilties g. 31a, Jonava</t>
  </si>
  <si>
    <t>P. Vaičiūno g. 2a, Jonava</t>
  </si>
  <si>
    <t>Chemikų g. 58, Jonava</t>
  </si>
  <si>
    <t>Chemikų g. 28, Jonava</t>
  </si>
  <si>
    <t>P. Vaičiūno g. 10, Jonava</t>
  </si>
  <si>
    <t>Sodų g. 37a, Jonava</t>
  </si>
  <si>
    <t>A. Kulviečio g. 1, Jonava</t>
  </si>
  <si>
    <t>Chemikų g. 132, Jonava</t>
  </si>
  <si>
    <t>Kęstučio g. 16a, Jonava</t>
  </si>
  <si>
    <t>Lietavos g. 21, Jonava</t>
  </si>
  <si>
    <t>Mokyklos g. 14, Jonava</t>
  </si>
  <si>
    <t>Žemaitės g. 18 sekcija 1 ir sekcija 3 , Jonava</t>
  </si>
  <si>
    <t>Lietavos g. 5, Jonava</t>
  </si>
  <si>
    <t>Chemikų g. 32, Jonava</t>
  </si>
  <si>
    <t>Varnutės g. 5, Jonava</t>
  </si>
  <si>
    <t>Chemikų g. 104, Jonava</t>
  </si>
  <si>
    <t>Žeimių takas 5, Jonava</t>
  </si>
  <si>
    <t>Vasario 16-osios g. 13, Jonava</t>
  </si>
  <si>
    <t>Chemikų g. 6, Jonava</t>
  </si>
  <si>
    <t>Kosmonautų g. 14, Jonava</t>
  </si>
  <si>
    <t>Lietavos g. 13, Jonava</t>
  </si>
  <si>
    <t>A. Kulviečio g. 14, Jonava</t>
  </si>
  <si>
    <t>Chemikų g. 49, Jonava</t>
  </si>
  <si>
    <t>Klaipėdos g. 36a, Jonava</t>
  </si>
  <si>
    <t>Lietavos g. 27, Jonava</t>
  </si>
  <si>
    <t>Lietavos g. 39, Jonava</t>
  </si>
  <si>
    <t>Ruklio g. 7, Rukla</t>
  </si>
  <si>
    <t>Kauno g. 91, Jonava</t>
  </si>
  <si>
    <t>Kosmonautų g. 46, Jonava</t>
  </si>
  <si>
    <t>Rupeikio g. 1, Rukla</t>
  </si>
  <si>
    <t>Ruklio g. 10, Rukla</t>
  </si>
  <si>
    <t>Chemikų g. 122, Jonava</t>
  </si>
  <si>
    <t>Girelės g. 2a, Jonava</t>
  </si>
  <si>
    <t>Girelės g. 3, Jonava</t>
  </si>
  <si>
    <t>Girelės g. 4, Jonava</t>
  </si>
  <si>
    <t>Taip</t>
  </si>
  <si>
    <t>Balsavimo rezultatai (%)</t>
  </si>
  <si>
    <t>Chemikų g. 27, Jonava</t>
  </si>
  <si>
    <t>Lietavos g. 3, Jonava</t>
  </si>
  <si>
    <t>Neįvyko/nepritarė</t>
  </si>
  <si>
    <t>Rangovas</t>
  </si>
  <si>
    <t>IP</t>
  </si>
  <si>
    <t>Ne</t>
  </si>
  <si>
    <t>Atsisakė</t>
  </si>
  <si>
    <t>SB</t>
  </si>
  <si>
    <t>UAB "Magirnis"</t>
  </si>
  <si>
    <t>Kosmonautų g. 3, Jonava</t>
  </si>
  <si>
    <t>Chemikų g. 53, Jonava</t>
  </si>
  <si>
    <t>Chemikų g. 15, Jonava</t>
  </si>
  <si>
    <t>Chemikų g. 45, Jonava</t>
  </si>
  <si>
    <t>Vilniaus g. 35, Jonava</t>
  </si>
  <si>
    <t>Chemikų g. 98, Jonava</t>
  </si>
  <si>
    <t>Chemikų g. 43, Jonava</t>
  </si>
  <si>
    <t>Kosmonautų g. 20, Jonava</t>
  </si>
  <si>
    <t>A. Kulviečio g. 16, Jonava</t>
  </si>
  <si>
    <t>Ruklio g. 5, Rukla</t>
  </si>
  <si>
    <t>Chemikų g. 100, Jonava</t>
  </si>
  <si>
    <t>Žeimių takas 9, Jonava</t>
  </si>
  <si>
    <t>Žemaitės g. 9, Jonava</t>
  </si>
  <si>
    <t>Chemikų g. 80, Jonava</t>
  </si>
  <si>
    <t>Chemikų g. 30, Jonava</t>
  </si>
  <si>
    <t>Butų skaičius</t>
  </si>
  <si>
    <t>Savivaldybės butų skaičius</t>
  </si>
  <si>
    <t>UAB "Aukštaitijos ranga"</t>
  </si>
  <si>
    <t>UAB "Elsis TS"</t>
  </si>
  <si>
    <t>UAB "Kostum"</t>
  </si>
  <si>
    <t>UAB "Verslo bitė"</t>
  </si>
  <si>
    <t>KJS 0205</t>
  </si>
  <si>
    <t>KJS 0218</t>
  </si>
  <si>
    <t>Projekto kodas</t>
  </si>
  <si>
    <t>Chemikų g. 17, Jonava</t>
  </si>
  <si>
    <t>Chemikų g. 70, Jonava</t>
  </si>
  <si>
    <t>Chemikų g. 72, Jonava</t>
  </si>
  <si>
    <t>Chemikų g. 74, Jonava</t>
  </si>
  <si>
    <t>KJS 0207</t>
  </si>
  <si>
    <t>Sutarties pasirašymo data</t>
  </si>
  <si>
    <t>IP finans.</t>
  </si>
  <si>
    <t>Viso</t>
  </si>
  <si>
    <t>ES+</t>
  </si>
  <si>
    <t>KJS 0224</t>
  </si>
  <si>
    <t>KJS 0315</t>
  </si>
  <si>
    <t>KJS 0203</t>
  </si>
  <si>
    <t>KJS 0211</t>
  </si>
  <si>
    <t>KJS 0217</t>
  </si>
  <si>
    <t>KJS 0212</t>
  </si>
  <si>
    <t>KJS 0170</t>
  </si>
  <si>
    <t>KJS 0223</t>
  </si>
  <si>
    <t>KJS 0177</t>
  </si>
  <si>
    <t>KJS 0213</t>
  </si>
  <si>
    <t>KJS 0171</t>
  </si>
  <si>
    <t>KJS 0169</t>
  </si>
  <si>
    <t>KJS 0310</t>
  </si>
  <si>
    <t>KJS 0176</t>
  </si>
  <si>
    <t>KJS 0226</t>
  </si>
  <si>
    <t>KJS 0225</t>
  </si>
  <si>
    <t>KJS 0180</t>
  </si>
  <si>
    <t>KJS 0208</t>
  </si>
  <si>
    <t>KJS 0216</t>
  </si>
  <si>
    <t>KJS 0178</t>
  </si>
  <si>
    <t>KJS 0215</t>
  </si>
  <si>
    <t>KJS 0214</t>
  </si>
  <si>
    <t>KJS 0220</t>
  </si>
  <si>
    <t>KJS 0172</t>
  </si>
  <si>
    <t>KJS 0219</t>
  </si>
  <si>
    <t>KJS 0210</t>
  </si>
  <si>
    <t>KJS 0221</t>
  </si>
  <si>
    <t>KJS 0168</t>
  </si>
  <si>
    <t>KJS 0179</t>
  </si>
  <si>
    <t>KJS 0222</t>
  </si>
  <si>
    <t>KJS 0174</t>
  </si>
  <si>
    <t>KJS 0173</t>
  </si>
  <si>
    <t>KJS 0245</t>
  </si>
  <si>
    <t>KJS 0244</t>
  </si>
  <si>
    <t>KJS 0206</t>
  </si>
  <si>
    <t>KJS 0181</t>
  </si>
  <si>
    <t>KJS 0309</t>
  </si>
  <si>
    <t>KJS 0204</t>
  </si>
  <si>
    <t>KJS 0243</t>
  </si>
  <si>
    <t>KJS 0308</t>
  </si>
  <si>
    <t>KJS 0202</t>
  </si>
  <si>
    <t>KJS 0307</t>
  </si>
  <si>
    <t>KJS 0201</t>
  </si>
  <si>
    <t>KJS 0182</t>
  </si>
  <si>
    <t>KJS 0246</t>
  </si>
  <si>
    <t>KJS 0209</t>
  </si>
  <si>
    <t>KJS 0330</t>
  </si>
  <si>
    <t>KJS 0331</t>
  </si>
  <si>
    <t>KJS 0344</t>
  </si>
  <si>
    <t>KJS 0346</t>
  </si>
  <si>
    <t>KJS 0345</t>
  </si>
  <si>
    <t>KJ 0053</t>
  </si>
  <si>
    <t>KJS 0359</t>
  </si>
  <si>
    <t>KJS 0360</t>
  </si>
  <si>
    <t>KJS 20361</t>
  </si>
  <si>
    <t>VB+</t>
  </si>
  <si>
    <t>Kompensuota suma</t>
  </si>
  <si>
    <t>Kompensavimo datat</t>
  </si>
  <si>
    <t>Prašymo data</t>
  </si>
  <si>
    <t>KJ 0054</t>
  </si>
  <si>
    <t>KJ 0055</t>
  </si>
  <si>
    <t>KJS 20367</t>
  </si>
  <si>
    <t>UAB "Grastatas"</t>
  </si>
  <si>
    <t>P. Vaičiūno g. 20, Jonava</t>
  </si>
  <si>
    <t>KJS 20391</t>
  </si>
  <si>
    <t>KJS 20394</t>
  </si>
  <si>
    <t>KJS 20392</t>
  </si>
  <si>
    <t>KJS 20390</t>
  </si>
  <si>
    <t>KJS 20389</t>
  </si>
  <si>
    <t>KJS 20388</t>
  </si>
  <si>
    <t>KJS 20385</t>
  </si>
  <si>
    <t>KJS 20383</t>
  </si>
  <si>
    <t>KJS 20386</t>
  </si>
  <si>
    <t>KJS 20387</t>
  </si>
  <si>
    <t>KJS 20382</t>
  </si>
  <si>
    <t>KJS 20381</t>
  </si>
  <si>
    <t>KJS 20363</t>
  </si>
  <si>
    <t>KJS 20384</t>
  </si>
  <si>
    <t>KJS 20396</t>
  </si>
  <si>
    <t>KJS 20397</t>
  </si>
  <si>
    <t>KJS 20398</t>
  </si>
  <si>
    <t>KJS 20395</t>
  </si>
  <si>
    <t>KJS 20393</t>
  </si>
  <si>
    <t>KJS 20415</t>
  </si>
  <si>
    <t>KJS 20416</t>
  </si>
  <si>
    <t>KJS 20417</t>
  </si>
  <si>
    <t>KJS 20420</t>
  </si>
  <si>
    <t>KJS 20421</t>
  </si>
  <si>
    <t>KJS 20419</t>
  </si>
  <si>
    <t>KJS 20418</t>
  </si>
  <si>
    <t>-</t>
  </si>
  <si>
    <t>Lietavos g. 11, Jonava</t>
  </si>
  <si>
    <t>KJS 20512</t>
  </si>
  <si>
    <t>KJS 20513</t>
  </si>
  <si>
    <t>KJS 20514</t>
  </si>
  <si>
    <t>KJS 20516</t>
  </si>
  <si>
    <t>KJS 20517</t>
  </si>
  <si>
    <t>KJS 20510</t>
  </si>
  <si>
    <t>KJS 20511</t>
  </si>
  <si>
    <t>KJS 20515</t>
  </si>
  <si>
    <t>neįvyko</t>
  </si>
  <si>
    <t>KJS 20600</t>
  </si>
  <si>
    <t>KJS 20622</t>
  </si>
  <si>
    <t>KJS 20601</t>
  </si>
  <si>
    <t>KJS 20602</t>
  </si>
  <si>
    <t>Kosmonautų g. 24, Jonava</t>
  </si>
  <si>
    <t>Kosmonautų g. 48, Jonava</t>
  </si>
  <si>
    <t>Panerių g. 7, Jonava</t>
  </si>
  <si>
    <t>Jaunystės g. 2, Upninkai</t>
  </si>
  <si>
    <t>Plento g. 11, Liepiai</t>
  </si>
  <si>
    <t>Programoje dalyvauja</t>
  </si>
  <si>
    <t>Kompensuota suma, Lt</t>
  </si>
  <si>
    <t>UAB "Statybų vizija"</t>
  </si>
  <si>
    <t>Sutarties suma, eurais</t>
  </si>
  <si>
    <t>Sutarties suma, Litais</t>
  </si>
  <si>
    <t>UAB "CCM Baltic"</t>
  </si>
  <si>
    <t>UAB "A. Žilinskio ir ko"</t>
  </si>
  <si>
    <t>Pritarę atnaujinimui namai, kurie nebus finansuojami, nes jiems nepritarė bankas</t>
  </si>
  <si>
    <t>UAB "Dalis erdvės"</t>
  </si>
  <si>
    <t>I sąrašas</t>
  </si>
  <si>
    <t>II sąrašas</t>
  </si>
  <si>
    <t>III sąrašas</t>
  </si>
  <si>
    <t>IV sąrašas</t>
  </si>
  <si>
    <t>UAB "Aukstata"</t>
  </si>
  <si>
    <t>KJS 20671</t>
  </si>
  <si>
    <t>KJS 20670</t>
  </si>
  <si>
    <t>KJS 20669</t>
  </si>
  <si>
    <t>KJS 20675</t>
  </si>
  <si>
    <t>KJS 20674</t>
  </si>
  <si>
    <t>UAB "Consolius LT"</t>
  </si>
  <si>
    <t>Iš jų administruoja Jonavos paslaugos</t>
  </si>
  <si>
    <t>Pabaiga, užbaigimo aktas</t>
  </si>
  <si>
    <t>Atsisakė vėliau</t>
  </si>
  <si>
    <t>Žemaitės g. 8, Jonava</t>
  </si>
  <si>
    <t>Kosmonautų g. 12, Jonava</t>
  </si>
  <si>
    <t>Kompensuota suma, €</t>
  </si>
  <si>
    <t>Kosmonautų g. 26, Jonava</t>
  </si>
  <si>
    <t>Chemikų g. 26, Jonava</t>
  </si>
  <si>
    <t>Vasario 16-osios g. 13-29</t>
  </si>
  <si>
    <t>Investicijų suma</t>
  </si>
  <si>
    <t>Gauta paramos dalis</t>
  </si>
  <si>
    <t>Savininkui tenkanti mokėti suma</t>
  </si>
  <si>
    <t>Einamoji mėnesinė įmoka (kreditas + palūkanos)</t>
  </si>
  <si>
    <t>Kredito išmokėjimo terminas</t>
  </si>
  <si>
    <t>Savivaldybės buto plotas</t>
  </si>
  <si>
    <t>A. Kulviečio g. 14-10</t>
  </si>
  <si>
    <t>A. Kulviečio g. 14-42</t>
  </si>
  <si>
    <t>A. Kulviečio g. 14-43</t>
  </si>
  <si>
    <t>A. Kulviečio g. 14-44</t>
  </si>
  <si>
    <t>A. Kulviečio g. 14-49</t>
  </si>
  <si>
    <t>Kambarių skaičius</t>
  </si>
  <si>
    <t>A. Kulviečio g. 16-45</t>
  </si>
  <si>
    <t>Chemikų g. 15-3</t>
  </si>
  <si>
    <t>Chemikų g. 25-15</t>
  </si>
  <si>
    <t>Chemikų g. 25-30</t>
  </si>
  <si>
    <t>Chemikų g. 29-1</t>
  </si>
  <si>
    <t>Chemikų g. 29-75</t>
  </si>
  <si>
    <t xml:space="preserve">Chemikų g. 58-2 </t>
  </si>
  <si>
    <t>Chemikų g. 104-13</t>
  </si>
  <si>
    <t>Chemikų g. 132-1</t>
  </si>
  <si>
    <t>Chemikų g. 132-2</t>
  </si>
  <si>
    <t>Chemikų g. 132-3</t>
  </si>
  <si>
    <t>Chemikų g. 132-4</t>
  </si>
  <si>
    <t>Chemikų g. 132-5</t>
  </si>
  <si>
    <t>Chemikų g. 132-6</t>
  </si>
  <si>
    <t>Chemikų g. 132-7</t>
  </si>
  <si>
    <t>Chemikų g. 132-8</t>
  </si>
  <si>
    <t>Chemikų g. 132-9</t>
  </si>
  <si>
    <t>Chemikų g. 132-10</t>
  </si>
  <si>
    <t>Chemikų g. 132-11</t>
  </si>
  <si>
    <t>Chemikų g. 132-12</t>
  </si>
  <si>
    <t>Chemikų g. 132-13</t>
  </si>
  <si>
    <t>Chemikų g. 132-14</t>
  </si>
  <si>
    <t>Chemikų g. 132-15</t>
  </si>
  <si>
    <t>Chemikų g. 132-16</t>
  </si>
  <si>
    <t>Chemikų g. 132-17</t>
  </si>
  <si>
    <t>Chemikų g. 132-18</t>
  </si>
  <si>
    <t>Chemikų g. 132-19</t>
  </si>
  <si>
    <t>Chemikų g. 132-20</t>
  </si>
  <si>
    <t>Chemikų g. 132-21</t>
  </si>
  <si>
    <t>Chemikų g. 132-22</t>
  </si>
  <si>
    <t>Fabriko g. 14-1</t>
  </si>
  <si>
    <t>Fabriko g. 14-5B</t>
  </si>
  <si>
    <t>Kauno g. 91-11</t>
  </si>
  <si>
    <t>Kauno g. 91-23</t>
  </si>
  <si>
    <t>Kauno g. 91-33</t>
  </si>
  <si>
    <t>Kauno g. 91-36</t>
  </si>
  <si>
    <t>Kauno g. 93-13</t>
  </si>
  <si>
    <t>Kauno g. 93-32</t>
  </si>
  <si>
    <t>Kauno g. 93-40</t>
  </si>
  <si>
    <t>Kauno g. 93-46</t>
  </si>
  <si>
    <t>Kęstučio g. 16A-44</t>
  </si>
  <si>
    <t>Kosmonautų g. 3-20</t>
  </si>
  <si>
    <t>Kosmonautų g. 3-27</t>
  </si>
  <si>
    <t>Kosmonautų g. 3-30</t>
  </si>
  <si>
    <t>Kosmonautų g. 3-32</t>
  </si>
  <si>
    <t>Kosmonautų g. 3b-4</t>
  </si>
  <si>
    <t>Kosmonautų g. 3b-37</t>
  </si>
  <si>
    <t>Kosmonautų g. 11-3</t>
  </si>
  <si>
    <t>Kosmonautų g. 11-50</t>
  </si>
  <si>
    <t>Kosmonautų g. 16-1</t>
  </si>
  <si>
    <t>Kosmonautų g. 16-6</t>
  </si>
  <si>
    <t>Kosmonautų g. 16-13</t>
  </si>
  <si>
    <t>Kosmonautų g. 16-34</t>
  </si>
  <si>
    <t xml:space="preserve">Kosmonautų g. 16-42 </t>
  </si>
  <si>
    <t>Kosmonautų g. 16-66</t>
  </si>
  <si>
    <t>Kosmonautų g. 18-11</t>
  </si>
  <si>
    <t>Kosmonautų g. 18-14</t>
  </si>
  <si>
    <t>Kosmonautų g. 18-27</t>
  </si>
  <si>
    <t>Kosmonautų g. 18-58</t>
  </si>
  <si>
    <t>Kosmonautų g. 20-14</t>
  </si>
  <si>
    <t>Kosmonautų g. 20-43</t>
  </si>
  <si>
    <t>Kosmonautų g. 20-52</t>
  </si>
  <si>
    <t>Kosmonautų g. 20-60</t>
  </si>
  <si>
    <t>Kosmonautų g. 24-42</t>
  </si>
  <si>
    <t>Kosmonautų g. 24-45</t>
  </si>
  <si>
    <t>Kosmonautų g. 46-27</t>
  </si>
  <si>
    <t>Kosmonautų g. 46-29</t>
  </si>
  <si>
    <t>Kosmonautų g. 46-32</t>
  </si>
  <si>
    <t>Kosmonautų g. 46-58</t>
  </si>
  <si>
    <t>Kosmonautų g. 48-2</t>
  </si>
  <si>
    <t>Kosmonautų g. 48-14</t>
  </si>
  <si>
    <t>Kosmonautų g. 48-56</t>
  </si>
  <si>
    <t>Lietavos g. 21-7</t>
  </si>
  <si>
    <t xml:space="preserve">Lietavos g. 27-2        </t>
  </si>
  <si>
    <t>Lietavos g. 27-24</t>
  </si>
  <si>
    <t>Lietavos g. 27-48</t>
  </si>
  <si>
    <t>Lietavos g. 9-33</t>
  </si>
  <si>
    <t xml:space="preserve">P.Vaičiūno g. 2a-15 </t>
  </si>
  <si>
    <t>Panerių g. 15-4</t>
  </si>
  <si>
    <t>Panerių g. 15-29</t>
  </si>
  <si>
    <t>Panerių g. 15-35</t>
  </si>
  <si>
    <t>Parko g. 1-1</t>
  </si>
  <si>
    <t>Parko g. 1-13</t>
  </si>
  <si>
    <t>Parko g. 3-42</t>
  </si>
  <si>
    <t>Parko g. 3-35</t>
  </si>
  <si>
    <t>Sodų g. 37a-3</t>
  </si>
  <si>
    <t>Sodų g. 37a-26</t>
  </si>
  <si>
    <t>Sodų g. 37a-46</t>
  </si>
  <si>
    <t xml:space="preserve">Sodų g. 37a-60 </t>
  </si>
  <si>
    <t>Sodų g. 37a-73</t>
  </si>
  <si>
    <t>Sodų g. 37a-75</t>
  </si>
  <si>
    <t>Sodų g. 37a-93</t>
  </si>
  <si>
    <t>Varnutės g. 5-5</t>
  </si>
  <si>
    <t>Vilniaus g. 29-26</t>
  </si>
  <si>
    <t>Vilniaus g. 31-10</t>
  </si>
  <si>
    <t>Vilniaus g. 31-44</t>
  </si>
  <si>
    <t>Vilniaus g. 35-23</t>
  </si>
  <si>
    <t>Vilniaus g. 35-29</t>
  </si>
  <si>
    <t>Vilniaus g. 35-31</t>
  </si>
  <si>
    <t>Žalioji g. 6-4</t>
  </si>
  <si>
    <t>Žalioji g. 9-46</t>
  </si>
  <si>
    <t>Ruklio g. 5-11</t>
  </si>
  <si>
    <t>Ruklio g. 5-14</t>
  </si>
  <si>
    <t>Ruklio g. 5-18</t>
  </si>
  <si>
    <t>Ruklio g. 5-26</t>
  </si>
  <si>
    <t>Ruklio g. 5-29</t>
  </si>
  <si>
    <t>Ruklio g. 5-37</t>
  </si>
  <si>
    <t>Ruklio g. 5-38</t>
  </si>
  <si>
    <t>Liepių k., Plento g. 11-1</t>
  </si>
  <si>
    <t>Liepių k., Plento g. 11-2</t>
  </si>
  <si>
    <t>Liepių k., Plento g. 11-3</t>
  </si>
  <si>
    <t>Liepių k., Plento g. 11-4</t>
  </si>
  <si>
    <t>Liepių k., Plento g. 11-5</t>
  </si>
  <si>
    <t>Administravimo išlaidos</t>
  </si>
  <si>
    <t>Vidutinis butas</t>
  </si>
  <si>
    <t>Vidutinės išlaidos mėnesiui 1 butui</t>
  </si>
  <si>
    <t>Įmokos kredito ir palūkanų dengimui</t>
  </si>
  <si>
    <t>Pergalės g. 7, Šveicarija</t>
  </si>
  <si>
    <t>PL</t>
  </si>
  <si>
    <t xml:space="preserve">UAB "Dailista" </t>
  </si>
  <si>
    <t>Kredito išmokėjimo pradžia</t>
  </si>
  <si>
    <t>UAB "Dailista"</t>
  </si>
  <si>
    <t>Chemikų g. 58-2</t>
  </si>
  <si>
    <t>Baigtų projektų apmokėjimas. Savivaldybės butai</t>
  </si>
  <si>
    <t>Ranga baigta</t>
  </si>
  <si>
    <t>Ataskaitos savininkams</t>
  </si>
  <si>
    <t>Ataskaitos, priskaitymai</t>
  </si>
  <si>
    <t>Lietavos 31</t>
  </si>
  <si>
    <t>Birutės 7</t>
  </si>
  <si>
    <t>Chemikų 92C</t>
  </si>
  <si>
    <t>Kosmonautų 9</t>
  </si>
  <si>
    <t>Kulviečio 15</t>
  </si>
  <si>
    <t>Kulviečio 13a</t>
  </si>
  <si>
    <t>Chemikų 86</t>
  </si>
  <si>
    <t>Kauno 6</t>
  </si>
  <si>
    <t>50 proc.</t>
  </si>
  <si>
    <t>0 proc.</t>
  </si>
  <si>
    <t>40 proc.</t>
  </si>
  <si>
    <t xml:space="preserve">Bendrijos savarankiškai </t>
  </si>
  <si>
    <t>VRM programa</t>
  </si>
  <si>
    <t>Aušros 1a</t>
  </si>
  <si>
    <t>Paramos dalis</t>
  </si>
  <si>
    <t>Administravimas</t>
  </si>
  <si>
    <t>Bendrija</t>
  </si>
  <si>
    <t xml:space="preserve">Panerių g. 19 </t>
  </si>
  <si>
    <t>Panerių g. 21</t>
  </si>
  <si>
    <t xml:space="preserve">Panerių g. 23 </t>
  </si>
  <si>
    <t xml:space="preserve">Panerių g. 29 </t>
  </si>
  <si>
    <t>Panerių g. 31</t>
  </si>
  <si>
    <t xml:space="preserve">Birutės g. 6 </t>
  </si>
  <si>
    <t xml:space="preserve">Birutės g. 8 </t>
  </si>
  <si>
    <t>J.Ralio g. 1</t>
  </si>
  <si>
    <t>J.Ralio g. 3</t>
  </si>
  <si>
    <t xml:space="preserve">J.Ralio g. 5 </t>
  </si>
  <si>
    <t>J.Ralio g. 7</t>
  </si>
  <si>
    <t xml:space="preserve">J.Ralio g. 8 </t>
  </si>
  <si>
    <t xml:space="preserve">J.Ralio g. 10 </t>
  </si>
  <si>
    <t>J.Ralio g. 12</t>
  </si>
  <si>
    <t xml:space="preserve">Panerių g. 6 </t>
  </si>
  <si>
    <t xml:space="preserve">Birutės g. 4A </t>
  </si>
  <si>
    <t>Kauno g. 5</t>
  </si>
  <si>
    <t xml:space="preserve">Kauno g. 13 </t>
  </si>
  <si>
    <t>Kauno g. 100</t>
  </si>
  <si>
    <t xml:space="preserve">Klaipėdos g. 3 </t>
  </si>
  <si>
    <t>Klaipėdos g. 5</t>
  </si>
  <si>
    <t>Klaipėdos g. 11</t>
  </si>
  <si>
    <t xml:space="preserve">Kosmonautų g. 2A </t>
  </si>
  <si>
    <t xml:space="preserve">Kosmonautų g. 2B </t>
  </si>
  <si>
    <t>Kosmonautų g. 10</t>
  </si>
  <si>
    <t xml:space="preserve">Kosmonautų g. 34 </t>
  </si>
  <si>
    <t xml:space="preserve">Kosmonautų g. 44 </t>
  </si>
  <si>
    <t xml:space="preserve">Lietavos g. 1 </t>
  </si>
  <si>
    <t xml:space="preserve">Parko g. 5 </t>
  </si>
  <si>
    <t xml:space="preserve">Parko g. 7 </t>
  </si>
  <si>
    <t xml:space="preserve">Prezidento g. 18 </t>
  </si>
  <si>
    <t xml:space="preserve">Prezidento g.19A </t>
  </si>
  <si>
    <t xml:space="preserve">Sodų g. 93 </t>
  </si>
  <si>
    <t>Sodų g. 60</t>
  </si>
  <si>
    <t>Sodų g. 89</t>
  </si>
  <si>
    <t xml:space="preserve">Sodų g. 91 </t>
  </si>
  <si>
    <t xml:space="preserve">Taikos g. 5 </t>
  </si>
  <si>
    <t>Vytauto g. 4</t>
  </si>
  <si>
    <t xml:space="preserve">Žeimių g. 1 </t>
  </si>
  <si>
    <t>Žalioji g. 4</t>
  </si>
  <si>
    <t xml:space="preserve">Karaliaus Mindaugo g. 8 </t>
  </si>
  <si>
    <t>Karaliaus Mindaugo g. 10</t>
  </si>
  <si>
    <t>Ruklio g. 14</t>
  </si>
  <si>
    <t>Dariaus ir Girėno 1a</t>
  </si>
  <si>
    <t>85 proc.</t>
  </si>
  <si>
    <t>Nauja statyba</t>
  </si>
  <si>
    <t>A. Kulviečio 18</t>
  </si>
  <si>
    <t>Žemaitės 11</t>
  </si>
  <si>
    <t>Bendrijos savarankiškai</t>
  </si>
  <si>
    <t xml:space="preserve">Bendrijos VRM </t>
  </si>
  <si>
    <t>Administruojami VRM</t>
  </si>
  <si>
    <t>VRM programa, iš jų</t>
  </si>
  <si>
    <t>AM programa, iš jų</t>
  </si>
  <si>
    <t>Bendrijos per JP</t>
  </si>
  <si>
    <t>Administruojami JP</t>
  </si>
  <si>
    <t>Suma</t>
  </si>
  <si>
    <t>Viso baigti</t>
  </si>
  <si>
    <t>Viso renovuota bendrijų</t>
  </si>
  <si>
    <t>Viso renovuota administruojamų namų</t>
  </si>
  <si>
    <t>Mieste</t>
  </si>
  <si>
    <t>Iš jų mieste</t>
  </si>
  <si>
    <t>Iš jų ne mieste</t>
  </si>
  <si>
    <t>Renovuotų namų dalis</t>
  </si>
  <si>
    <t>Daugiabučių skaičius savivaldybėje</t>
  </si>
  <si>
    <t>Bendrijų valdomi daugiabučiai</t>
  </si>
  <si>
    <t>UAB „Jonavos paslaugos“ mieste</t>
  </si>
  <si>
    <t>UAB „Jonavos paslaugos“ kaime</t>
  </si>
  <si>
    <t>Kitos valdymo formos</t>
  </si>
  <si>
    <t>Baigimo metai</t>
  </si>
  <si>
    <t>Daugiabučių skaičius</t>
  </si>
  <si>
    <t>A. Kulviečio g. 17, Jonava</t>
  </si>
  <si>
    <t>A. Kulviečio g. 20, Jonava (B)</t>
  </si>
  <si>
    <t>Lietavos g. 11, Jonava (B)</t>
  </si>
  <si>
    <t>Lietavos g. 13, Jonava (B)</t>
  </si>
  <si>
    <t>Kosmonautų g. 32, Jonava</t>
  </si>
  <si>
    <t>Kosmonautų g. 5, Jonava (B)</t>
  </si>
  <si>
    <t>Žeimių takas 3, Jonava (B)</t>
  </si>
  <si>
    <t>Lietavos g. 43, Jonava (B)</t>
  </si>
  <si>
    <t>Chemikų g. 36, Jonava (B)</t>
  </si>
  <si>
    <t>Varnutės g. 3a, Jonava (B)</t>
  </si>
  <si>
    <t>Suvalkiečių g. 3, Juškonys (JV)</t>
  </si>
  <si>
    <t>Žalioji g. 9, Jonava</t>
  </si>
  <si>
    <t>Lietavos g. 9, Jonava</t>
  </si>
  <si>
    <t>Chemikų g. 60, Jonava</t>
  </si>
  <si>
    <t>Pritarę atnaujinimui namai, kuriuose (bus) vykdomi darbai</t>
  </si>
  <si>
    <t>Vilniaus g. 9 (dalinai)</t>
  </si>
  <si>
    <t>Teritorija</t>
  </si>
  <si>
    <t>Eil. nr.</t>
  </si>
  <si>
    <t>Unikalus kodas</t>
  </si>
  <si>
    <t>Bendras plotas kv.m.</t>
  </si>
  <si>
    <t>Naudingas plotas kv.m.</t>
  </si>
  <si>
    <t>Aukštų skaičius</t>
  </si>
  <si>
    <t>Sienos</t>
  </si>
  <si>
    <t>Stogas</t>
  </si>
  <si>
    <t>Statybos pab. metai</t>
  </si>
  <si>
    <t>Gyvenamųjų patalpų sk.</t>
  </si>
  <si>
    <t>Negyvenamųjų patalpų sk.</t>
  </si>
  <si>
    <t>Įregistruotų gyvenamųjų patalpų sk.</t>
  </si>
  <si>
    <t>Įregistruotų negyvenamųjų patalpų sk.</t>
  </si>
  <si>
    <t>Namo bendrojo naudojimo objektų valdymo būdas</t>
  </si>
  <si>
    <t>Valdytojo kodas</t>
  </si>
  <si>
    <t>Valdytojo pavadinimas pavadinimas, asmuo</t>
  </si>
  <si>
    <t>Buveinės adresas</t>
  </si>
  <si>
    <t>Jonava</t>
  </si>
  <si>
    <t>Jonavos r. sav. Jonavos m. A. Kulviečio g. 1</t>
  </si>
  <si>
    <t>Betonas / blokai / šlakblokai</t>
  </si>
  <si>
    <t>Ruloninė danga</t>
  </si>
  <si>
    <t>Paskirtas administratorius</t>
  </si>
  <si>
    <t xml:space="preserve"> Uždaroji akcinė bendrovė "Jonavos paslaugos"</t>
  </si>
  <si>
    <t>Jonavos r. sav. Jonavos m. Klaipėdos g. 17</t>
  </si>
  <si>
    <t>Jonavos r. sav. Jonavos m. A. Kulviečio g. 10</t>
  </si>
  <si>
    <t>Gelžbetonio plokštės</t>
  </si>
  <si>
    <t>Ruberoidas</t>
  </si>
  <si>
    <t>Jonavos r. sav. Jonavos m. A. Kulviečio g. 11</t>
  </si>
  <si>
    <t>Jonavos r. sav. Jonavos m. A. Kulviečio g. 14</t>
  </si>
  <si>
    <t>Jonavos r. sav. Jonavos m. A. Kulviečio g. 16</t>
  </si>
  <si>
    <t>Gelžbetonio blokai</t>
  </si>
  <si>
    <t>Asbestcementis</t>
  </si>
  <si>
    <t>Jonavos r. sav. Jonavos m. A. Kulviečio g. 17</t>
  </si>
  <si>
    <t>Jonavos r. sav. Jonavos m. A. Kulviečio g. 18</t>
  </si>
  <si>
    <t>Plytos</t>
  </si>
  <si>
    <t>Jonavos r. sav. Jonavos m. A. Kulviečio g. 19</t>
  </si>
  <si>
    <t>Jonavos r. sav. Jonavos m. A. Kulviečio g. 2</t>
  </si>
  <si>
    <t>Jonavos r. sav. Jonavos m. A. Kulviečio g. 21</t>
  </si>
  <si>
    <t>Jonavos r. sav. Jonavos m. A. Kulviečio g. 23</t>
  </si>
  <si>
    <t>Šlakbetonis</t>
  </si>
  <si>
    <t>Jonavos r. sav. Jonavos m. A. Kulviečio g. 3</t>
  </si>
  <si>
    <t>Jonavos r. sav. Jonavos m. A. Kulviečio g. 4</t>
  </si>
  <si>
    <t>Jonavos r. sav. Jonavos m. A. Kulviečio g. 5</t>
  </si>
  <si>
    <t>Jonavos r. sav. Jonavos m. A. Kulviečio g. 6</t>
  </si>
  <si>
    <t>Jonavos r. sav. Jonavos m. A. Kulviečio g. 7</t>
  </si>
  <si>
    <t>Jonavos r. sav. Jonavos m. A. Kulviečio g. 8</t>
  </si>
  <si>
    <t>Jonavos r. sav. Jonavos m. A. Kulviečio g. 9</t>
  </si>
  <si>
    <t>Jonavos r. sav. Jonavos m. Birutės g. 4A</t>
  </si>
  <si>
    <t>Jonavos r. sav. Jonavos m. Birutės g. 6</t>
  </si>
  <si>
    <t>Bitumas</t>
  </si>
  <si>
    <t>Jonavos r. sav. Jonavos m. Birutės g. 8</t>
  </si>
  <si>
    <t>Jonavos r. sav. Jonavos m. Chemikų g. 100</t>
  </si>
  <si>
    <t>Jonavos r. sav. Jonavos m. Chemikų g. 102</t>
  </si>
  <si>
    <t>Jonavos r. sav. Jonavos m. Chemikų g. 104</t>
  </si>
  <si>
    <t>Jonavos r. sav. Jonavos m. Chemikų g. 114</t>
  </si>
  <si>
    <t>Jonavos r. sav. Jonavos m. Chemikų g. 116</t>
  </si>
  <si>
    <t>Jonavos r. sav. Jonavos m. Chemikų g. 120</t>
  </si>
  <si>
    <t>Plytų mūras</t>
  </si>
  <si>
    <t>Jonavos r. sav. Jonavos m. Chemikų g. 122</t>
  </si>
  <si>
    <t>Jonavos r. sav. Jonavos m. Chemikų g. 13</t>
  </si>
  <si>
    <t>Jonavos r. sav. Jonavos m. Chemikų g. 130</t>
  </si>
  <si>
    <t>Jonavos r. sav. Jonavos m. Chemikų g. 132</t>
  </si>
  <si>
    <t>Jonavos r. sav. Jonavos m. Chemikų g. 134</t>
  </si>
  <si>
    <t>Jonavos r. sav. Jonavos m. Chemikų g. 14</t>
  </si>
  <si>
    <t>Jonavos r. sav. Jonavos m. Chemikų g. 15</t>
  </si>
  <si>
    <t>Jonavos r. sav. Jonavos m. Chemikų g. 17</t>
  </si>
  <si>
    <t>Jonavos r. sav. Jonavos m. Chemikų g. 21</t>
  </si>
  <si>
    <t>Jonavos r. sav. Jonavos m. Chemikų g. 23</t>
  </si>
  <si>
    <t>Jonavos r. sav. Jonavos m. Chemikų g. 24</t>
  </si>
  <si>
    <t>Jonavos r. sav. Jonavos m. Chemikų g. 25</t>
  </si>
  <si>
    <t>Jonavos r. sav. Jonavos m. Chemikų g. 26</t>
  </si>
  <si>
    <t>Jonavos r. sav. Jonavos m. Chemikų g. 27</t>
  </si>
  <si>
    <t>Jonavos r. sav. Jonavos m. Chemikų g. 28</t>
  </si>
  <si>
    <t>Jonavos r. sav. Jonavos m. Chemikų g. 29</t>
  </si>
  <si>
    <t>Akmenbetonis</t>
  </si>
  <si>
    <t>Jonavos r. sav. Jonavos m. Chemikų g. 30</t>
  </si>
  <si>
    <t>Jonavos r. sav. Jonavos m. Chemikų g. 31</t>
  </si>
  <si>
    <t>Jonavos r. sav. Jonavos m. Chemikų g. 32</t>
  </si>
  <si>
    <t>Jonavos r. sav. Jonavos m. Chemikų g. 35</t>
  </si>
  <si>
    <t>Jonavos r. sav. Jonavos m. Chemikų g. 39</t>
  </si>
  <si>
    <t>Jonavos r. sav. Jonavos m. Chemikų g. 41</t>
  </si>
  <si>
    <t>Jonavos r. sav. Jonavos m. Chemikų g. 43</t>
  </si>
  <si>
    <t>Jonavos r. sav. Jonavos m. Chemikų g. 45</t>
  </si>
  <si>
    <t>Jonavos r. sav. Jonavos m. Chemikų g. 47</t>
  </si>
  <si>
    <t>Jonavos r. sav. Jonavos m. Chemikų g. 49</t>
  </si>
  <si>
    <t>Jonavos r. sav. Jonavos m. Chemikų g. 51</t>
  </si>
  <si>
    <t>Jonavos r. sav. Jonavos m. Chemikų g. 53</t>
  </si>
  <si>
    <t>Jonavos r. sav. Jonavos m. Chemikų g. 55</t>
  </si>
  <si>
    <t>Jonavos r. sav. Jonavos m. Chemikų g. 57</t>
  </si>
  <si>
    <t>Jonavos r. sav. Jonavos m. Chemikų g. 58</t>
  </si>
  <si>
    <t>Jonavos r. sav. Jonavos m. Chemikų g. 6</t>
  </si>
  <si>
    <t>Jonavos r. sav. Jonavos m. Chemikų g. 60</t>
  </si>
  <si>
    <t>Jonavos r. sav. Jonavos m. Chemikų g. 62</t>
  </si>
  <si>
    <t>Jonavos r. sav. Jonavos m. Chemikų g. 64</t>
  </si>
  <si>
    <t>Jonavos r. sav. Jonavos m. Chemikų g. 66</t>
  </si>
  <si>
    <t>Jonavos r. sav. Jonavos m. Chemikų g. 68</t>
  </si>
  <si>
    <t>Jonavos r. sav. Jonavos m. Chemikų g. 70</t>
  </si>
  <si>
    <t>Jonavos r. sav. Jonavos m. Chemikų g. 72</t>
  </si>
  <si>
    <t>Jonavos r. sav. Jonavos m. Chemikų g. 74</t>
  </si>
  <si>
    <t>Jonavos r. sav. Jonavos m. Chemikų g. 78</t>
  </si>
  <si>
    <t>Jonavos r. sav. Jonavos m. Chemikų g. 8</t>
  </si>
  <si>
    <t>Jonavos r. sav. Jonavos m. Chemikų g. 80</t>
  </si>
  <si>
    <t>Jonavos r. sav. Jonavos m. Chemikų g. 82</t>
  </si>
  <si>
    <t>Jonavos r. sav. Jonavos m. Chemikų g. 84</t>
  </si>
  <si>
    <t>Jonavos r. sav. Jonavos m. Chemikų g. 92</t>
  </si>
  <si>
    <t>Jonavos r. sav. Jonavos m. Chemikų g. 98</t>
  </si>
  <si>
    <t>Jonavos r. sav. Jonavos m. Dariaus ir Girėno g. 1A</t>
  </si>
  <si>
    <t>Jonavos r. sav. Jonavos m. Fabriko g. 14</t>
  </si>
  <si>
    <t>Keramika</t>
  </si>
  <si>
    <t>Jonavos r. sav. Jonavos m. Geležinkelio g. 10</t>
  </si>
  <si>
    <t>Jonavos r. sav. Jonavos m. Geležinkelio g. 2</t>
  </si>
  <si>
    <t>Jonavos r. sav. Jonavos m. Geležinkelio g. 8</t>
  </si>
  <si>
    <t>Jonavos r. sav. Jonavos m. Girelės g. 1</t>
  </si>
  <si>
    <t>Jonavos r. sav. Jonavos m. Girelės g. 2</t>
  </si>
  <si>
    <t>Jonavos r. sav. Jonavos m. Girelės g. 2A</t>
  </si>
  <si>
    <t>Jonavos r. sav. Jonavos m. Girelės g. 3</t>
  </si>
  <si>
    <t>Jonavos r. sav. Jonavos m. Girelės g. 4</t>
  </si>
  <si>
    <t>Jonavos r. sav. Jonavos m. J. Biliūno g. 2A</t>
  </si>
  <si>
    <t>Rąstai</t>
  </si>
  <si>
    <t>Jonavos r. sav. Jonavos m. J. Ralio g. 1</t>
  </si>
  <si>
    <t>Jonavos r. sav. Jonavos m. J. Ralio g. 10</t>
  </si>
  <si>
    <t>Jonavos r. sav. Jonavos m. J. Ralio g. 12</t>
  </si>
  <si>
    <t>Jonavos r. sav. Jonavos m. J. Ralio g. 3</t>
  </si>
  <si>
    <t>Jonavos r. sav. Jonavos m. J. Ralio g. 5</t>
  </si>
  <si>
    <t>Metalas</t>
  </si>
  <si>
    <t>Jonavos r. sav. Jonavos m. J. Ralio g. 7</t>
  </si>
  <si>
    <t>Jonavos r. sav. Jonavos m. J. Ralio g. 8</t>
  </si>
  <si>
    <t>Jonavos r. sav. Jonavos m. J. Ralio g. 9</t>
  </si>
  <si>
    <t>Jonavos r. sav. Jonavos m. Kauno g. 100</t>
  </si>
  <si>
    <t>Jonavos r. sav. Jonavos m. Kauno g. 13</t>
  </si>
  <si>
    <t>Jonavos r. sav. Jonavos m. Kauno g. 5</t>
  </si>
  <si>
    <t>Jonavos r. sav. Jonavos m. Kauno g. 68</t>
  </si>
  <si>
    <t>Jonavos r. sav. Jonavos m. Kauno g. 91</t>
  </si>
  <si>
    <t>Jonavos r. sav. Jonavos m. Kauno g. 93</t>
  </si>
  <si>
    <t>Jonavos r. sav. Jonavos m. Kauno g. 94</t>
  </si>
  <si>
    <t>Jonavos r. sav. Jonavos m. Kęstučio g. 16A</t>
  </si>
  <si>
    <t>Jonavos r. sav. Jonavos m. Klaipėdos g. 11</t>
  </si>
  <si>
    <t>Jonavos r. sav. Jonavos m. Klaipėdos g. 3</t>
  </si>
  <si>
    <t>Jonavos r. sav. Jonavos m. Klaipėdos g. 36A</t>
  </si>
  <si>
    <t>Jonavos r. sav. Jonavos m. Klaipėdos g. 5</t>
  </si>
  <si>
    <t>Jonavos r. sav. Jonavos m. Kosmonautų g. 10</t>
  </si>
  <si>
    <t>Jonavos r. sav. Jonavos m. Kosmonautų g. 11</t>
  </si>
  <si>
    <t>Jonavos r. sav. Jonavos m. Kosmonautų g. 12</t>
  </si>
  <si>
    <t>Jonavos r. sav. Jonavos m. Kosmonautų g. 14</t>
  </si>
  <si>
    <t>Jonavos r. sav. Jonavos m. Kosmonautų g. 16</t>
  </si>
  <si>
    <t>Jonavos r. sav. Jonavos m. Kosmonautų g. 18</t>
  </si>
  <si>
    <t>Jonavos r. sav. Jonavos m. Kosmonautų g. 20</t>
  </si>
  <si>
    <t>Jonavos r. sav. Jonavos m. Kosmonautų g. 22</t>
  </si>
  <si>
    <t>Jonavos r. sav. Jonavos m. Kosmonautų g. 24</t>
  </si>
  <si>
    <t>Jonavos r. sav. Jonavos m. Kosmonautų g. 26</t>
  </si>
  <si>
    <t>Jonavos r. sav. Jonavos m. Kosmonautų g. 28</t>
  </si>
  <si>
    <t>Jonavos r. sav. Jonavos m. Kosmonautų g. 3</t>
  </si>
  <si>
    <t>Jonavos r. sav. Jonavos m. Kosmonautų g. 30</t>
  </si>
  <si>
    <t>Jonavos r. sav. Jonavos m. Kosmonautų g. 32</t>
  </si>
  <si>
    <t>Jonavos r. sav. Jonavos m. Kosmonautų g. 34</t>
  </si>
  <si>
    <t>Jonavos r. sav. Jonavos m. Kosmonautų g. 3A</t>
  </si>
  <si>
    <t>Jonavos r. sav. Jonavos m. Kosmonautų g. 3B</t>
  </si>
  <si>
    <t>Jonavos r. sav. Jonavos m. Kosmonautų g. 4</t>
  </si>
  <si>
    <t>Jonavos r. sav. Jonavos m. Kosmonautų g. 42</t>
  </si>
  <si>
    <t>Jonavos r. sav. Jonavos m. Kosmonautų g. 44</t>
  </si>
  <si>
    <t>Jonavos r. sav. Jonavos m. Kosmonautų g. 46</t>
  </si>
  <si>
    <t>Jonavos r. sav. Jonavos m. Kosmonautų g. 48</t>
  </si>
  <si>
    <t>Jonavos r. sav. Jonavos m. Kosmonautų g. 6</t>
  </si>
  <si>
    <t>Jonavos r. sav. Jonavos m. Kosmonautų g. 7</t>
  </si>
  <si>
    <t>Jonavos r. sav. Jonavos m. Kosmonautų g. 8</t>
  </si>
  <si>
    <t>Jonavos r. sav. Jonavos m. Lietavos g. 1</t>
  </si>
  <si>
    <t>Jonavos r. sav. Jonavos m. Lietavos g. 15</t>
  </si>
  <si>
    <t>Jonavos r. sav. Jonavos m. Lietavos g. 17</t>
  </si>
  <si>
    <t>Jonavos r. sav. Jonavos m. Lietavos g. 19</t>
  </si>
  <si>
    <t>Jonavos r. sav. Jonavos m. Lietavos g. 21</t>
  </si>
  <si>
    <t>Jonavos r. sav. Jonavos m. Lietavos g. 23</t>
  </si>
  <si>
    <t>Jonavos r. sav. Jonavos m. Lietavos g. 25</t>
  </si>
  <si>
    <t>Jonavos r. sav. Jonavos m. Lietavos g. 27</t>
  </si>
  <si>
    <t>Jonavos r. sav. Jonavos m. Lietavos g. 29</t>
  </si>
  <si>
    <t>Jonavos r. sav. Jonavos m. Lietavos g. 3</t>
  </si>
  <si>
    <t>Jonavos r. sav. Jonavos m. Lietavos g. 33</t>
  </si>
  <si>
    <t>Jonavos r. sav. Jonavos m. Lietavos g. 35</t>
  </si>
  <si>
    <t>Jonavos r. sav. Jonavos m. Lietavos g. 37</t>
  </si>
  <si>
    <t>Jonavos r. sav. Jonavos m. Lietavos g. 39</t>
  </si>
  <si>
    <t>Jonavos r. sav. Jonavos m. Lietavos g. 41</t>
  </si>
  <si>
    <t>Jonavos r. sav. Jonavos m. Lietavos g. 45</t>
  </si>
  <si>
    <t>Jonavos r. sav. Jonavos m. Lietavos g. 47</t>
  </si>
  <si>
    <t>Jonavos r. sav. Jonavos m. Lietavos g. 5</t>
  </si>
  <si>
    <t>Jonavos r. sav. Jonavos m. Lietavos g. 7</t>
  </si>
  <si>
    <t>Jonavos r. sav. Jonavos m. Lietavos g. 9</t>
  </si>
  <si>
    <t>Jonavos r. sav. Jonavos m. Miškininkų g. 10</t>
  </si>
  <si>
    <t>Jonavos r. sav. Jonavos m. Miškininkų g. 11</t>
  </si>
  <si>
    <t>Jonavos r. sav. Jonavos m. Miškininkų g. 13</t>
  </si>
  <si>
    <t>Jonavos r. sav. Jonavos m. Miškininkų g. 2</t>
  </si>
  <si>
    <t>Jonavos r. sav. Jonavos m. Miškininkų g. 3</t>
  </si>
  <si>
    <t>Jonavos r. sav. Jonavos m. Miškininkų g. 6</t>
  </si>
  <si>
    <t>Jonavos r. sav. Jonavos m. Miškininkų g. 8</t>
  </si>
  <si>
    <t>Jonavos r. sav. Jonavos m. Miškininkų g. 9</t>
  </si>
  <si>
    <t>Jonavos r. sav. Jonavos m. Mokyklos g. 10</t>
  </si>
  <si>
    <t>Jonavos r. sav. Jonavos m. Mokyklos g. 14</t>
  </si>
  <si>
    <t>Jonavos r. sav. Jonavos m. P. Vaičiūno g. 10</t>
  </si>
  <si>
    <t>Jonavos r. sav. Jonavos m. P. Vaičiūno g. 12</t>
  </si>
  <si>
    <t>Jonavos r. sav. Jonavos m. P. Vaičiūno g. 14</t>
  </si>
  <si>
    <t>Jonavos r. sav. Jonavos m. P. Vaičiūno g. 16</t>
  </si>
  <si>
    <t>Jonavos r. sav. Jonavos m. P. Vaičiūno g. 18</t>
  </si>
  <si>
    <t>Jonavos r. sav. Jonavos m. P. Vaičiūno g. 20</t>
  </si>
  <si>
    <t>Jonavos r. sav. Jonavos m. P. Vaičiūno g. 22</t>
  </si>
  <si>
    <t>Jonavos r. sav. Jonavos m. P. Vaičiūno g. 24</t>
  </si>
  <si>
    <t>Jonavos r. sav. Jonavos m. P. Vaičiūno g. 2A</t>
  </si>
  <si>
    <t>Jonavos r. sav. Jonavos m. P. Vaičiūno g. 2B</t>
  </si>
  <si>
    <t>Jonavos r. sav. Jonavos m. P. Vaičiūno g. 4</t>
  </si>
  <si>
    <t>Jonavos r. sav. Jonavos m. P. Vaičiūno g. 6</t>
  </si>
  <si>
    <t>Jonavos r. sav. Jonavos m. P. Vaičiūno g. 8</t>
  </si>
  <si>
    <t>Jonavos r. sav. Jonavos m. Panerių g. 15</t>
  </si>
  <si>
    <t>Jonavos r. sav. Jonavos m. Panerių g. 17</t>
  </si>
  <si>
    <t>Jonavos r. sav. Jonavos m. Panerių g. 19</t>
  </si>
  <si>
    <t>Jonavos r. sav. Jonavos m. Panerių g. 21</t>
  </si>
  <si>
    <t>Jonavos r. sav. Jonavos m. Panerių g. 23</t>
  </si>
  <si>
    <t>Jonavos r. sav. Jonavos m. Panerių g. 29</t>
  </si>
  <si>
    <t>Jonavos r. sav. Jonavos m. Panerių g. 31</t>
  </si>
  <si>
    <t>Jonavos r. sav. Jonavos m. Panerių g. 6</t>
  </si>
  <si>
    <t>Jonavos r. sav. Jonavos m. Panerių g. 7</t>
  </si>
  <si>
    <t>Jonavos r. sav. Jonavos m. Parko g. 1</t>
  </si>
  <si>
    <t>Jonavos r. sav. Jonavos m. Parko g. 3</t>
  </si>
  <si>
    <t>Jonavos r. sav. Jonavos m. Parko g. 5</t>
  </si>
  <si>
    <t>Jonavos r. sav. Jonavos m. Parko g. 7</t>
  </si>
  <si>
    <t>Jonavos r. sav. Jonavos m. Prezidento g. 18</t>
  </si>
  <si>
    <t>Jonavos r. sav. Jonavos m. Sodų g. 31</t>
  </si>
  <si>
    <t>Jonavos r. sav. Jonavos m. Sodų g. 37A</t>
  </si>
  <si>
    <t>Blokeliai</t>
  </si>
  <si>
    <t>Jonavos r. sav. Jonavos m. Sodų g. 40</t>
  </si>
  <si>
    <t>Jonavos r. sav. Jonavos m. Sodų g. 43</t>
  </si>
  <si>
    <t>Jonavos r. sav. Jonavos m. Sodų g. 50A</t>
  </si>
  <si>
    <t>Jonavos r. sav. Jonavos m. Sodų g. 60</t>
  </si>
  <si>
    <t>Jonavos r. sav. Jonavos m. Sodų g. 65</t>
  </si>
  <si>
    <t>Jonavos r. sav. Jonavos m. Sodų g. 89</t>
  </si>
  <si>
    <t>Jonavos r. sav. Jonavos m. Sodų g. 91</t>
  </si>
  <si>
    <t>Jonavos r. sav. Jonavos m. Sodų g. 93</t>
  </si>
  <si>
    <t>Jonavos r. sav. Jonavos m. Šilų g. 22</t>
  </si>
  <si>
    <t>Jonavos r. sav. Jonavos m. S. G. Ilgūno g. 16</t>
  </si>
  <si>
    <t>Jonavos r. sav. Jonavos m. Taikos g. 5</t>
  </si>
  <si>
    <t>Jonavos r. sav. Jonavos m. Varnutės g. 11</t>
  </si>
  <si>
    <t>Jonavos r. sav. Jonavos m. Varnutės g. 13</t>
  </si>
  <si>
    <t>Jonavos r. sav. Jonavos m. Varnutės g. 5</t>
  </si>
  <si>
    <t>Jonavos r. sav. Jonavos m. Vasario 16-osios g. 13</t>
  </si>
  <si>
    <t>Jonavos r. sav. Jonavos m. Vasario 16-osios g. 15</t>
  </si>
  <si>
    <t>Jonavos r. sav. Jonavos m. Vasario 16-osios g. 17</t>
  </si>
  <si>
    <t>Jonavos r. sav. Jonavos m. Vasario 16-osios g. 18</t>
  </si>
  <si>
    <t>Jonavos r. sav. Jonavos m. Vilniaus g. 29</t>
  </si>
  <si>
    <t>Jonavos r. sav. Jonavos m. Vilniaus g. 31</t>
  </si>
  <si>
    <t>Jonavos r. sav. Jonavos m. Vilniaus g. 33</t>
  </si>
  <si>
    <t>Jonavos r. sav. Jonavos m. Vilniaus g. 35</t>
  </si>
  <si>
    <t>Jonavos r. sav. Jonavos m. Vilniaus g. 40</t>
  </si>
  <si>
    <t>Jonavos r. sav. Jonavos m. Vilniaus g. 9</t>
  </si>
  <si>
    <t>Jonavos r. sav. Jonavos m. Vilties g. 26</t>
  </si>
  <si>
    <t>Jonavos r. sav. Jonavos m. Vilties g. 28</t>
  </si>
  <si>
    <t>Jonavos r. sav. Jonavos m. Vilties g. 31</t>
  </si>
  <si>
    <t>Jonavos r. sav. Jonavos m. Vilties g. 31A</t>
  </si>
  <si>
    <t>Jonavos r. sav. Jonavos m. Vytauto g. 4</t>
  </si>
  <si>
    <t>Jonavos r. sav. Jonavos m. Žalioji g. 17</t>
  </si>
  <si>
    <t>Jonavos r. sav. Jonavos m. Žalioji g. 4</t>
  </si>
  <si>
    <t>Jonavos r. sav. Jonavos m. Žalioji g. 6</t>
  </si>
  <si>
    <t>Jonavos r. sav. Jonavos m. Žalioji g. 8</t>
  </si>
  <si>
    <t>Jonavos r. sav. Jonavos m. Žalioji g. 9</t>
  </si>
  <si>
    <t>Jonavos r. sav. Jonavos m. Žeimių g. 1</t>
  </si>
  <si>
    <t>Jonavos r. sav. Jonavos m. Žeimių g. 26</t>
  </si>
  <si>
    <t>Jonavos r. sav. Jonavos m. Žeimių g. 3</t>
  </si>
  <si>
    <t>Jonavos r. sav. Jonavos m. Žeimių tak. 4</t>
  </si>
  <si>
    <t>Jonavos r. sav. Jonavos m. Žeimių tak. 4A</t>
  </si>
  <si>
    <t>Jonavos r. sav. Jonavos m. Žeimių tak. 5</t>
  </si>
  <si>
    <t>Jonavos r. sav. Jonavos m. Žeimių tak. 6</t>
  </si>
  <si>
    <t>Jonavos r. sav. Jonavos m. Žeimių tak. 9</t>
  </si>
  <si>
    <t>Jonavos r. sav. Jonavos m. Žemaitės g. 12</t>
  </si>
  <si>
    <t>Jonavos r. sav. Jonavos m. Žemaitės g. 18</t>
  </si>
  <si>
    <t>Jonavos r. sav. Jonavos m. Žemaitės g. 20</t>
  </si>
  <si>
    <t>Jonavos r. sav. Jonavos m. Žemaitės g. 5</t>
  </si>
  <si>
    <t>Jonavos r. sav. Jonavos m. Žemaitės g. 6</t>
  </si>
  <si>
    <t>Jonavos r. sav. Jonavos m. Žemaitės g. 8</t>
  </si>
  <si>
    <t>Jonavos r. sav. Jonavos m. Žemaitės g. 9</t>
  </si>
  <si>
    <t>Jonavos r. sav. Jonavos m. Ąžuolų g. 14</t>
  </si>
  <si>
    <t>Jonavos r. sav. Jonavos m. Ąžuolų g. 6</t>
  </si>
  <si>
    <t>Skarda cinkuota</t>
  </si>
  <si>
    <t>Jonavos r. sav. Jonavos m. Chemikų g. 128</t>
  </si>
  <si>
    <t>Jonavos r. sav. Jonavos m. Fabriko g. 1</t>
  </si>
  <si>
    <t>Medinis karkasas su užpildu</t>
  </si>
  <si>
    <t>Asbocementinio šiferio lakštai</t>
  </si>
  <si>
    <t>Jonavos r. sav. Jonavos m. Geležinkelio g. 12</t>
  </si>
  <si>
    <t>Jonavos r. sav. Jonavos m. Girelės g. 5</t>
  </si>
  <si>
    <t>Jonavos r. sav. Jonavos m. Kauno g. 93A</t>
  </si>
  <si>
    <t>Jonavos r. sav. Jonavos m. Miškininkų g. 4</t>
  </si>
  <si>
    <t>Jonavos r. sav. Jonavos m. Šilų g. 34</t>
  </si>
  <si>
    <t>Jonavos r. sav. Jonavos m. Stoties g. 21</t>
  </si>
  <si>
    <t>Jonavos r. sav. Jonavos m. Stoties g. 23</t>
  </si>
  <si>
    <t>Jonavos r. sav. Jonavos m. Stoties g. 25</t>
  </si>
  <si>
    <t>Jonavos r. sav. Jonavos m. Žalioji g. 10</t>
  </si>
  <si>
    <t>Jonavos r. sav. Jonavos m. Žeimių g. 72A</t>
  </si>
  <si>
    <t>Jonavos r. sav. Jonavos m. Žemaitės g. 11</t>
  </si>
  <si>
    <t>Jonavos r. sav. Jonavos m. Chemikų g. 118</t>
  </si>
  <si>
    <t>Jonavos r. sav. Jonavos m. Lietavos g. 49</t>
  </si>
  <si>
    <t>Jonavos r. sav. Jonavos m. Chemikų g. 112</t>
  </si>
  <si>
    <t>Jonavos r. sav. Jonavos m. Chemikų g. 126</t>
  </si>
  <si>
    <t>Jonavos r. sav. Jonavos m. Kauno g. 6</t>
  </si>
  <si>
    <t>Jonavos r. sav. Jonavos m. Varnutės g. 3</t>
  </si>
  <si>
    <t>Jonavos r. sav. Jonavos m. Žeimių tak. 1</t>
  </si>
  <si>
    <t>Jonavos r. sav. Jonavos m. Kosmonautų g. 2A</t>
  </si>
  <si>
    <t>DGN Kosmonautų g. 2a ir 2b savininkų bendrija</t>
  </si>
  <si>
    <t>Jonavos r. sav. Jonavos m. Kosmonautų g. 2B</t>
  </si>
  <si>
    <t>Jonavos r. sav. Jonavos m. Sodų g. 1</t>
  </si>
  <si>
    <t>Jonavos r. sav. Jonavos m. Chemikų g. 88</t>
  </si>
  <si>
    <t>Jonavos r. sav. Jonavos m. Chemikų g. 90</t>
  </si>
  <si>
    <t>Jonavos r. sav. Jonavos m. Chemikų g. 4A</t>
  </si>
  <si>
    <t>Jonavos r. sav. Jonavos m. Chemikų g. 4B</t>
  </si>
  <si>
    <t>Jonavos r. sav. Jonavos m. Chemikų g. 4</t>
  </si>
  <si>
    <t>Jonavos r. sav. Jonavos m. A. Kulviečio g. 13A</t>
  </si>
  <si>
    <t>Daugiabučio namo savininkų bendrija "Liepa 100"</t>
  </si>
  <si>
    <t>Jonavos r. sav. Jonavos m. A. Kulviečio g. 15</t>
  </si>
  <si>
    <t>Jonavos r. sav. Jonavos m. Chemikų g. 36</t>
  </si>
  <si>
    <t>Daugiabučio namo savininkų bendrija "Skardis"</t>
  </si>
  <si>
    <t>Jonavos r. sav. Jonavos m. Prezidento g. 19A</t>
  </si>
  <si>
    <t>Jonavos r. sav. Jonavos m. Lietavos g. 43</t>
  </si>
  <si>
    <t>Jonavos r. sav. Jonavos m. Žemaitės g. 14</t>
  </si>
  <si>
    <t>Jonavos r. sav. Jonavos m. Žemaitės g. 16</t>
  </si>
  <si>
    <t>Jonavos r. sav. Jonavos m. Žeimių tak. 3</t>
  </si>
  <si>
    <t>Jonavos r. sav. Jonavos m. Aušros g. 1A</t>
  </si>
  <si>
    <t>Jonavos r. sav. Jonavos m. A. Kulviečio g. 22</t>
  </si>
  <si>
    <t>Jonavos r. sav. Jonavos m. A. Kulviečio g. 32</t>
  </si>
  <si>
    <t>Jonavos r. sav. Jonavos m. Chemikų g. 108</t>
  </si>
  <si>
    <t>Jonavos r. sav. Jonavos m. Chemikų g. 110</t>
  </si>
  <si>
    <t>Jonavos r. sav. Jonavos m. Birutės g. 7</t>
  </si>
  <si>
    <t>Jonavos r. sav. Jonavos m. Kosmonautų g. 9</t>
  </si>
  <si>
    <t>Jonavos r. sav. Jonavos m. Lietavos g. 31</t>
  </si>
  <si>
    <t>Jonavos r. sav. Jonavos m. Žemaitės g. 7</t>
  </si>
  <si>
    <t>Jonavos r. sav. Jonavos m. Chemikų g. 106</t>
  </si>
  <si>
    <t>Jonavos r. sav. Jonavos m. Chemikų g. 76</t>
  </si>
  <si>
    <t>Jonavos r. sav. Jonavos m. Chemikų g. 124</t>
  </si>
  <si>
    <t>Jonavos r. sav. Jonavos m. Chemikų g. 19</t>
  </si>
  <si>
    <t>Jonavos r. sav. Jonavos m. Kosmonautų g. 5</t>
  </si>
  <si>
    <t>Jonavos r. sav. Jonavos m. Lietavos g. 11</t>
  </si>
  <si>
    <t>Jonavos r. sav. Jonavos m. Lietavos g. 13</t>
  </si>
  <si>
    <t>Jonavos r. sav. Jonavos m. Lietavos g. 51</t>
  </si>
  <si>
    <t>Jonavos r. sav. Jonavos m. A. Kulviečio g. 20</t>
  </si>
  <si>
    <t>Jonavos r. sav. Jonavos m. Chemikų g. 86</t>
  </si>
  <si>
    <t>Jonavos r. sav. Jonavos m. Žeimių g. 24</t>
  </si>
  <si>
    <t>Jungtinė veikla</t>
  </si>
  <si>
    <t>KOSTANTAS VYTAUTAS VAITKEVIČIUS</t>
  </si>
  <si>
    <t>Rukla</t>
  </si>
  <si>
    <t>Jonavos r. sav. Ruklos k. Paupio g. 36</t>
  </si>
  <si>
    <t>Jonavos r. sav. Ruklos mstl. Karaliaus Mindaugo g. 10</t>
  </si>
  <si>
    <t>Jonavos r. sav. Ruklos mstl. Karaliaus Mindaugo g. 8</t>
  </si>
  <si>
    <t>Jonavos r. sav. Ruklos mstl. Karaliaus Mindaugo g. 9</t>
  </si>
  <si>
    <t>Jonavos r. sav. Ruklos mstl. Laumės g. 2</t>
  </si>
  <si>
    <t>Jonavos r. sav. Ruklos mstl. Piliakalnio g. 10</t>
  </si>
  <si>
    <t>Jonavos r. sav. Ruklos mstl. Piliakalnio g. 14</t>
  </si>
  <si>
    <t>Jonavos r. sav. Ruklos mstl. Piliakalnio g. 16</t>
  </si>
  <si>
    <t>Jonavos r. sav. Ruklos mstl. Piliakalnio g. 4</t>
  </si>
  <si>
    <t>Jonavos r. sav. Ruklos mstl. Piliakalnio g. 6</t>
  </si>
  <si>
    <t>Jonavos r. sav. Ruklos mstl. Piliakalnio g. 8</t>
  </si>
  <si>
    <t>Jonavos r. sav. Ruklos mstl. Ruklio g. 10</t>
  </si>
  <si>
    <t>Jonavos r. sav. Ruklos mstl. Ruklio g. 14</t>
  </si>
  <si>
    <t>Jonavos r. sav. Ruklos mstl. Ruklio g. 2</t>
  </si>
  <si>
    <t>Jonavos r. sav. Ruklos mstl. Ruklio g. 3</t>
  </si>
  <si>
    <t>Jonavos r. sav. Ruklos mstl. Ruklio g. 4</t>
  </si>
  <si>
    <t>Jonavos r. sav. Ruklos mstl. Ruklio g. 5</t>
  </si>
  <si>
    <t>Jonavos r. sav. Ruklos mstl. Ruklio g. 7</t>
  </si>
  <si>
    <t>Jonavos r. sav. Ruklos mstl. Rupeikio g. 1</t>
  </si>
  <si>
    <t>Jonavos r. sav. Ruklos mstl. Rupeikio g. 3</t>
  </si>
  <si>
    <t>Jonavos r. sav. Ruklos mstl. Rupeikio g. 5</t>
  </si>
  <si>
    <t>Jonavos r. sav. Ruklos mstl. Rupeikio g. 7</t>
  </si>
  <si>
    <t>Bukonys</t>
  </si>
  <si>
    <t>Jonavos r. sav. Bukonių k. Jonavos g. 3</t>
  </si>
  <si>
    <t>Jonavos r. sav. Bukonių k. Ukmergės g. 16A</t>
  </si>
  <si>
    <t>Jonavos r. sav. Bukonių k. Ukmergės g. 18</t>
  </si>
  <si>
    <t>Jonavos r. sav. Bukonių k. Ukmergės g. 26</t>
  </si>
  <si>
    <t>Jonavos r. sav. Bukonių k. Ukmergės g. 28</t>
  </si>
  <si>
    <t>Jonavos r. sav. Bukonių k. Ukmergės g. 30</t>
  </si>
  <si>
    <t>Jonavos r. sav. Bukonių k. Ukmergės g. 32</t>
  </si>
  <si>
    <t xml:space="preserve">Jonavos r. sav. Biržulių k. 3 </t>
  </si>
  <si>
    <t>Jonavos r. sav. Gaižūnų k.</t>
  </si>
  <si>
    <t>Jonavos r. sav. Liepių k. Pirties g. 1</t>
  </si>
  <si>
    <t>Jonavos r. sav. Liepių k. Plento g. 11</t>
  </si>
  <si>
    <t>Jonavos r. sav. Liepių k. Plento g. 9</t>
  </si>
  <si>
    <t>Jonavos r. sav. Mimainių k. Gaižūnų g. 6</t>
  </si>
  <si>
    <t>Jonavos r. sav. Petrašiūnų k. Mačionių g. 1</t>
  </si>
  <si>
    <t>Plytų mūras su oro tarpu</t>
  </si>
  <si>
    <t>Jonavos r. sav. Petrašiūnų k. Mačionių g. 3</t>
  </si>
  <si>
    <t>Jonavos r. sav. Vaivadiškių k. Jonavos g. 2</t>
  </si>
  <si>
    <t>Dumsiai</t>
  </si>
  <si>
    <t>Jonavos r. sav. Dumsiškių k. Liepų g. 24</t>
  </si>
  <si>
    <t>Jonavos r. sav. Dumsiškių k. Liepų g. 4</t>
  </si>
  <si>
    <t>Jonavos r. sav. Gaižiūnų glž. st. Geležinkelio g. 14</t>
  </si>
  <si>
    <t>Jonavos r. sav. Gaižiūnų glž. st. Geležinkelio g. 19</t>
  </si>
  <si>
    <t>Jonavos r. sav. Gaižiūnų glž. st. Geležinkelio g. 7</t>
  </si>
  <si>
    <t>Jonavos r. sav. Šveicarijos k. Parko g. 2</t>
  </si>
  <si>
    <t>Jonavos r. sav. Šveicarijos k. Pergalės g. 15</t>
  </si>
  <si>
    <t>Jonavos r. sav. Šveicarijos k. Pergalės g. 4</t>
  </si>
  <si>
    <t>Jonavos r. sav. Šveicarijos k. Pergalės g. 5</t>
  </si>
  <si>
    <t>SAULĖ NAVICKIENĖ</t>
  </si>
  <si>
    <t>Jonavos r. sav. Šveicarijos k. Pergalės g. 7</t>
  </si>
  <si>
    <t>Jonavos r. sav. Šveicarijos k. Pergalės g. 9</t>
  </si>
  <si>
    <t>Jonavos r. sav. Šveicarijos k. Šviesos g. 2</t>
  </si>
  <si>
    <t>JOANA UCKIŪTĖ</t>
  </si>
  <si>
    <t>Kulva</t>
  </si>
  <si>
    <t>Jonavos r. sav. Batėgalos k. Rodžių g. 28</t>
  </si>
  <si>
    <t>Jonavos r. sav. Batėgalos k. Rodžių g. 30</t>
  </si>
  <si>
    <t>Jonavos r. sav. Čičinų k. Ateities g. 26</t>
  </si>
  <si>
    <t>Jonavos r. sav.           Gineikių k.</t>
  </si>
  <si>
    <t>Jonavos r. sav. Kulvos k. Ramioji g. 3</t>
  </si>
  <si>
    <t>Jonavos r. sav. Kulvos k. Tarybų g. 6</t>
  </si>
  <si>
    <t>Jonavos r. sav. Kurmagalos k. Kauno kel. 39</t>
  </si>
  <si>
    <t>Jonavos r. sav. Mykoliškių k. Pakrantės g. 11</t>
  </si>
  <si>
    <t>Jonavos r. sav. Paupės k. Slėnio g. 10</t>
  </si>
  <si>
    <t>Jonavos r. sav. Preišiogalėlės k. Žiedo g. 5</t>
  </si>
  <si>
    <t>Jonavos r. sav. Ručiūnų k. Klevų g. 4</t>
  </si>
  <si>
    <t>Jonavos r. sav. Ručiūnų k. Klevų g. 6</t>
  </si>
  <si>
    <t>Jonavos r. sav. Ručiūnų k. Klevų g. 8</t>
  </si>
  <si>
    <t>Jonavos r. sav.           Vešeikių k.</t>
  </si>
  <si>
    <t>Šilai</t>
  </si>
  <si>
    <t>Jonavos r. sav. Aklojo Ežero k.</t>
  </si>
  <si>
    <t>Karkasinis apmūrytas</t>
  </si>
  <si>
    <t>Jonavos r. sav. Aklojo Ežero k. Samanynės g. 14</t>
  </si>
  <si>
    <t>Jonavos r. sav. Aklojo Ežero k. Samanynės g. 16</t>
  </si>
  <si>
    <t>Jonavos r. sav. Aklojo Ežero k. Samanynės g. 20</t>
  </si>
  <si>
    <t>Medis</t>
  </si>
  <si>
    <t>Jonavos r. sav. Aklojo Ežero k. Samanynės g. 22</t>
  </si>
  <si>
    <t>Jonavos r. sav. Aklojo Ežero k. Samanynės g. 24</t>
  </si>
  <si>
    <t>Jonavos r. sav.    Jadvygavos k.</t>
  </si>
  <si>
    <t>Jonavos r. sav. Jadvygavos k.  4</t>
  </si>
  <si>
    <t>Jonavos r. sav.              Koncepto k.</t>
  </si>
  <si>
    <t>Jonavos r. sav.         Koncepto k.  6</t>
  </si>
  <si>
    <t>Jonavos r. sav. Markutiškių k. Dvaro g. 11</t>
  </si>
  <si>
    <t>Medis su karkasu</t>
  </si>
  <si>
    <t>Jonavos r. sav. Markutiškių k. Dvaro g. 3</t>
  </si>
  <si>
    <t>Jonavos r. sav. Markutiškių k. Dvaro g. 9</t>
  </si>
  <si>
    <t>Jonavos r. sav. Milagainių k. Gedgaudų g. 13</t>
  </si>
  <si>
    <t>Jonavos r. sav. Panoterių mstl. Mokyklos g. 3</t>
  </si>
  <si>
    <t>Jonavos r. sav. Panoterių mstl. Mokyklos g. 5</t>
  </si>
  <si>
    <t>Jonavos r. sav. Panoterių mstl. Noteros g. 20</t>
  </si>
  <si>
    <t>Jonavos r. sav. Panoterių mstl. Noteros g. 22</t>
  </si>
  <si>
    <t>Jonavos r. sav. Praulių k. Dvaro g. 1</t>
  </si>
  <si>
    <t>Jonavos r. sav. Praulių k. Dvaro g. 18</t>
  </si>
  <si>
    <t>Jonavos r. sav. Šilų k.</t>
  </si>
  <si>
    <t>Jonavos r. sav. Šilų k. Beržų g. 4</t>
  </si>
  <si>
    <t>Jonavos r. sav. Šilų k. Beržų g. 6</t>
  </si>
  <si>
    <t>Jonavos r. sav. Šilų k. Lokio g. 4</t>
  </si>
  <si>
    <t>Jonavos r. sav. Šilų k. Lokio g. 6</t>
  </si>
  <si>
    <t>Jonavos r. sav. Šilų k. Lokio g. 8</t>
  </si>
  <si>
    <t>Upninkai</t>
  </si>
  <si>
    <t>Jonavos r. sav. Baltromiškės k.</t>
  </si>
  <si>
    <t>Jonavos r. sav. Keižonių k. Dienovidžių g. 45</t>
  </si>
  <si>
    <t>Jonavos r. sav. Upninkėlių k. Jonavos g. 1</t>
  </si>
  <si>
    <t>Jonavos r. sav. Upninkėlių k. Jonavos g. 7</t>
  </si>
  <si>
    <t>Jonavos r. sav.           Upninkų k.</t>
  </si>
  <si>
    <t>Jonavos r. sav. Upninkų k. Darbininkų g. 10</t>
  </si>
  <si>
    <t>Jonavos r. sav. Upninkų k. Darbininkų g. 11</t>
  </si>
  <si>
    <t>Jonavos r. sav. Upninkų k. Darbininkų g. 12</t>
  </si>
  <si>
    <t>Jonavos r. sav. Upninkų k. Darbininkų g. 13</t>
  </si>
  <si>
    <t>Jonavos r. sav. Upninkų k. Darbininkų g. 14</t>
  </si>
  <si>
    <t>Jonavos r. sav. Upninkų k. Darbininkų g. 16</t>
  </si>
  <si>
    <t>Jonavos r. sav. Upninkų k. Darbininkų g. 3</t>
  </si>
  <si>
    <t>Jonavos r. sav. Upninkų k. Darbininkų g. 5</t>
  </si>
  <si>
    <t>Jonavos r. sav. Upninkų k. Darbininkų g. 7</t>
  </si>
  <si>
    <t>Jonavos r. sav. Upninkų k. Darbininkų g. 9</t>
  </si>
  <si>
    <t>Jonavos r. sav. Upninkų k. Jaunystės g. 11</t>
  </si>
  <si>
    <t>Jonavos r. sav. Upninkų k. Jaunystės g. 2</t>
  </si>
  <si>
    <t>Jonavos r. sav. Upninkų k. Jaunystės g. 5</t>
  </si>
  <si>
    <t>Jonavos r. sav. Upninkų k. Jaunystės g. 9</t>
  </si>
  <si>
    <t>Jonavos r. sav. Upninkų k. Lakštingalų g. 1</t>
  </si>
  <si>
    <t>Jonavos r. sav. Upninkų k. Lakštingalų g. 3</t>
  </si>
  <si>
    <t>Jonavos r. sav. Upninkų k. Lakštingalų g. 5</t>
  </si>
  <si>
    <t>Nėra</t>
  </si>
  <si>
    <t>Jonavos r. sav. Upninkų k. Šventosios g. 12</t>
  </si>
  <si>
    <t>Jonavos r. sav. Upninkų k. Šventosios g. 14</t>
  </si>
  <si>
    <t>Jonavos r. sav. Upninkų k. Šventosios g. 16</t>
  </si>
  <si>
    <t>Jonavos r. sav. Upninkų k. Šventosios g. 18</t>
  </si>
  <si>
    <t>Užusaliai</t>
  </si>
  <si>
    <t>Jonavos r. sav.         Būdų III k.  4</t>
  </si>
  <si>
    <t>Jonavos r. sav. Didžiojo Raisto k. Durpių g. 21A</t>
  </si>
  <si>
    <t>Jonavos r. sav. Didžiojo Raisto k. Durpių g. 4</t>
  </si>
  <si>
    <t>Jonavos r. sav. Didžiojo Raisto k. Durpių g. 6</t>
  </si>
  <si>
    <t>Jonavos r. sav. Didžiojo Raisto k. Durpių g. 8</t>
  </si>
  <si>
    <t>Medinis apmūrytas</t>
  </si>
  <si>
    <t>Jonavos r. sav. Išorų k. Neries g. 18</t>
  </si>
  <si>
    <t>Jonavos r. sav. Turžėnų k. Turžėnų kel. 10</t>
  </si>
  <si>
    <t>Jonavos r. sav. Turžėnų k. Turžėnų kel. 10A</t>
  </si>
  <si>
    <t>Jonavos r. sav. Užusalių k. Rudmėnų g. 2</t>
  </si>
  <si>
    <t>Jonavos r. sav. Užusalių k. Rudmėnų g. 4</t>
  </si>
  <si>
    <t>Jonavos r. sav. Užusalių k. Saulės g. 10</t>
  </si>
  <si>
    <t>Jonavos r. sav. Užusalių k. Saulės g. 12</t>
  </si>
  <si>
    <t>Jonavos r. sav. Užusalių k. Saulės g. 20</t>
  </si>
  <si>
    <t>Jonavos r. sav. Užusalių k. Saulės g. 6</t>
  </si>
  <si>
    <t>Jonavos r. sav. Veseluvkos k. Stoties g. 3</t>
  </si>
  <si>
    <t>Žeimiai</t>
  </si>
  <si>
    <t>Jonavos r. sav. Juškonių k. Draugystės g. 32</t>
  </si>
  <si>
    <t>Jonavos r. sav. Juškonių k. Liepų g. 4</t>
  </si>
  <si>
    <t>Jonavos r. sav. Juškonių k. Liepų g. 6</t>
  </si>
  <si>
    <t>Jonavos r. sav. Juškonių k. Suvalkiečių g. 3</t>
  </si>
  <si>
    <t>Jonavos r. sav. Kuigalių k. Pergalės g. 2</t>
  </si>
  <si>
    <t>Jonavos r. sav. Kuigalių k. Pergalės g. 3</t>
  </si>
  <si>
    <t>Jonavos r. sav. Kuigalių k. Pergalės g. 4</t>
  </si>
  <si>
    <t>Jonavos r. sav. Kuigalių k. Pergalės g. 6</t>
  </si>
  <si>
    <t>Jonavos r. sav. Kuigalių k. Šermukšnių g. 1</t>
  </si>
  <si>
    <t>Jonavos r. sav. Kuigalių k. Šermukšnių g. 2</t>
  </si>
  <si>
    <t>Jonavos r. sav. Kuigalių k. Šermukšnių g. 4</t>
  </si>
  <si>
    <t>Jonavos r. sav. Kuigalių k. Šermukšnių g. 6</t>
  </si>
  <si>
    <t>Jonavos r. sav. Kuigalių k. Žeimių g. 2</t>
  </si>
  <si>
    <t>Jonavos r. sav. Kuigalių k. Žeimių g. 3</t>
  </si>
  <si>
    <t>Jonavos r. sav. Kuigalių k. Žeimių g. 5</t>
  </si>
  <si>
    <t>Jonavos r. sav. Mimalių k. Beržų g. 1</t>
  </si>
  <si>
    <t>Jonavos r. sav. Mitėniškių k.  3</t>
  </si>
  <si>
    <t>Jonavos r. sav.            Naujokų k.  1</t>
  </si>
  <si>
    <t>Jonavos r. sav. Palankesių k. Dvaro g. 1</t>
  </si>
  <si>
    <t>Jonavos r. sav. Palankesių k. Dvaro g. 2</t>
  </si>
  <si>
    <t>Jonavos r. sav. Palankesių k. Dvaro g. 3</t>
  </si>
  <si>
    <t>Jonavos r. sav. Palankesių k. Dvaro g. 8</t>
  </si>
  <si>
    <t>Jonavos r. sav. Terespolio k.  2</t>
  </si>
  <si>
    <t>Jonavos r. sav. Žeimių mstl. Draugystės g. 26</t>
  </si>
  <si>
    <t>Jonavos r. sav. Žeimių mstl. Mokyklos g. 10</t>
  </si>
  <si>
    <t>Jonavos r. sav. Žeimių mstl. Mokyklos g. 2</t>
  </si>
  <si>
    <t>Jonavos r. sav. Žeimių mstl. Mokyklos g. 3</t>
  </si>
  <si>
    <t>Jonavos r. sav. Žeimių mstl. Mokyklos g. 4</t>
  </si>
  <si>
    <t>Jonavos r. sav. Žeimių mstl. Mokyklos g. 8</t>
  </si>
  <si>
    <t>Jonavos r. sav. Žeimių mstl. Sodų g. 2</t>
  </si>
  <si>
    <t>Jonavos r. sav. Žeimių mstl. Sodų g. 3</t>
  </si>
  <si>
    <t>Jonavos r. sav. Žeimių mstl. Sodų g. 5</t>
  </si>
  <si>
    <t>Jonavos r. sav. Jonavos m. K. Donelaičio g. 4</t>
  </si>
  <si>
    <t>Jonavos r. sav. Jonavos m. Kauno g. 48</t>
  </si>
  <si>
    <t>Jonavos r. sav. Jonavos m. Kauno g. 80</t>
  </si>
  <si>
    <t>Jonavos r. sav. Ruklos k. Paupio g. 34</t>
  </si>
  <si>
    <t>Jonavos r. sav. Šveicarijos k. Dzūkų g. 2</t>
  </si>
  <si>
    <t>Jonavos r. sav. Šveicarijos k. Pergalės g. 1</t>
  </si>
  <si>
    <t>Jonavos r. sav. Šveicarijos k. Pergalės g. 8</t>
  </si>
  <si>
    <t>Jonavos r. sav.          Markutiškių k.</t>
  </si>
  <si>
    <t>Nendrės</t>
  </si>
  <si>
    <t>Jonavos r. sav. Pūstelninkų k.  8</t>
  </si>
  <si>
    <t>Jonavos r. sav.        Mitėniškių k.</t>
  </si>
  <si>
    <t>Viso atnaujintų/naujų namų pagal kitas programas</t>
  </si>
  <si>
    <t>Ne mieste (Rukloje)</t>
  </si>
  <si>
    <t>iki 2008</t>
  </si>
  <si>
    <t>Vasario 16-osios g. 15</t>
  </si>
  <si>
    <t>Žemaitės g. 12</t>
  </si>
  <si>
    <t>Neįvykę pirminiai susirinkimai</t>
  </si>
  <si>
    <t>Susirinkimai</t>
  </si>
  <si>
    <t>Pritarusių %</t>
  </si>
  <si>
    <t>Nebuvo kvorumo</t>
  </si>
  <si>
    <t>Chemikų g. 106 (B)</t>
  </si>
  <si>
    <t>Kosmonautų g. 11, Jonava</t>
  </si>
  <si>
    <t>Kosmonautų g. 22</t>
  </si>
  <si>
    <t>Žeimių takas 1 (B)</t>
  </si>
  <si>
    <t>Chemikų g. 23</t>
  </si>
  <si>
    <t>Kosmonautų g. 16-42</t>
  </si>
  <si>
    <t>Užbaigimo aktų</t>
  </si>
  <si>
    <t>Atsiskaityta</t>
  </si>
  <si>
    <t>Namai, turintys rangovus</t>
  </si>
  <si>
    <t>Rangos sutarčių suma, lt</t>
  </si>
  <si>
    <t>Rangos sutarčių suma, €</t>
  </si>
  <si>
    <t>Pritarę namai</t>
  </si>
  <si>
    <t>Banko patvirtinti namai</t>
  </si>
  <si>
    <t>Kredito grąžinimo administravimas 0,028€/kv.m./mėn.</t>
  </si>
  <si>
    <t>Administravimo išlaidos 0,051€/kv.m./ mėn.</t>
  </si>
  <si>
    <t>Kasmėnesinė kredito ir palūkanų įmoka, €</t>
  </si>
  <si>
    <t>Žemaitės g. 5</t>
  </si>
  <si>
    <t>A. Kulviečio g. 21</t>
  </si>
  <si>
    <t>Chemikų g. 31</t>
  </si>
  <si>
    <t>A. Kulviečio g. 23</t>
  </si>
  <si>
    <t>Kosmonautų g. 8</t>
  </si>
  <si>
    <t>Lietavos g. 7</t>
  </si>
  <si>
    <t>AB "Panevėžio statybos trestas"</t>
  </si>
  <si>
    <t>Chemikų g. 39</t>
  </si>
  <si>
    <t>Chemikų g. 51</t>
  </si>
  <si>
    <t>Kosmonautų g. 6</t>
  </si>
  <si>
    <t>Vilniaus g. 9</t>
  </si>
  <si>
    <t>Kęstučio g. 16a-44</t>
  </si>
  <si>
    <t>Chemikų g. 19 (B)</t>
  </si>
  <si>
    <t>Chemikų g. 120</t>
  </si>
  <si>
    <t>Litetavos g. 51 (B)</t>
  </si>
  <si>
    <t>Chemikų g. 118 (B)</t>
  </si>
  <si>
    <t>Lietavos g. 15</t>
  </si>
  <si>
    <t>Lietavos g. 47</t>
  </si>
  <si>
    <t>Planuojami namai, IP SB lėšomis su ES kompensacija</t>
  </si>
  <si>
    <t>V sąrašas</t>
  </si>
  <si>
    <t>Sodų g. 31</t>
  </si>
  <si>
    <t>Sodų g. 43</t>
  </si>
  <si>
    <t>Sodų g. 40</t>
  </si>
  <si>
    <t>Sodų g. 50A</t>
  </si>
  <si>
    <t>Sodų g. 65</t>
  </si>
  <si>
    <t>Vasario 16-osios g. 17</t>
  </si>
  <si>
    <t>Žalioji g. 10</t>
  </si>
  <si>
    <t>Žalioji g. 17</t>
  </si>
  <si>
    <t>Kosmonautų g. 28</t>
  </si>
  <si>
    <t>Kosmonautų g. 30</t>
  </si>
  <si>
    <t>Kosmonautų g. 42</t>
  </si>
  <si>
    <t>Kosmonautų g. 3A</t>
  </si>
  <si>
    <t>Statybos metai</t>
  </si>
  <si>
    <t>Lietavos g. 17</t>
  </si>
  <si>
    <t>Lietavos g. 19</t>
  </si>
  <si>
    <t>Lietavos g. 23</t>
  </si>
  <si>
    <t>Lietavos g. 25</t>
  </si>
  <si>
    <t>Lietavos g. 33</t>
  </si>
  <si>
    <t>Lietavos g. 35</t>
  </si>
  <si>
    <t>Lietavos g. 37</t>
  </si>
  <si>
    <t>Lietavos g. 41</t>
  </si>
  <si>
    <t>Lietavos g. 45</t>
  </si>
  <si>
    <t>Lietavos g. 49 (B)</t>
  </si>
  <si>
    <t>Žeimių takas 6</t>
  </si>
  <si>
    <t>Žeimių takas 4</t>
  </si>
  <si>
    <t>Lietavos g. 27-2</t>
  </si>
  <si>
    <t>yra prašymas</t>
  </si>
  <si>
    <t>UAB "Anrestas"</t>
  </si>
  <si>
    <t>P. Vaičiūno g. 8</t>
  </si>
  <si>
    <t>JP info apie gautus prašymus</t>
  </si>
  <si>
    <t>J. Ralio g. 9</t>
  </si>
  <si>
    <t>Žeimių g. 3</t>
  </si>
  <si>
    <t>A. Kuviečio g. 11</t>
  </si>
  <si>
    <t>Buto plotas</t>
  </si>
  <si>
    <t>Kauno g. 44</t>
  </si>
  <si>
    <t>P.Vaičiūno g. 2a-15</t>
  </si>
  <si>
    <t>Sodų g. 37a-60</t>
  </si>
  <si>
    <t>Sodų g. 37a-65</t>
  </si>
  <si>
    <t>Sodų g. 37a-71</t>
  </si>
  <si>
    <t>A.Žilinskio ir ko</t>
  </si>
  <si>
    <t>Kauno g. 93-34</t>
  </si>
  <si>
    <t>Žalioji 6-4</t>
  </si>
  <si>
    <t>Žalioji 9-46</t>
  </si>
  <si>
    <t>Viso pagal tarybos sprendimus</t>
  </si>
  <si>
    <t>Viso pagal BETA suderinimą</t>
  </si>
  <si>
    <t>Sodų g. 1, Jonava (B)</t>
  </si>
  <si>
    <t>Išlaidų poreikis 2017m.</t>
  </si>
  <si>
    <t>Mokyklos 14</t>
  </si>
  <si>
    <t>Chemikų 60</t>
  </si>
  <si>
    <t>Chemikų 80</t>
  </si>
  <si>
    <t>Jaunystės g. 2</t>
  </si>
  <si>
    <t>P.Vaičiūno g. 10</t>
  </si>
  <si>
    <t>Kredito administravimas</t>
  </si>
  <si>
    <t>Chemikų g. 14</t>
  </si>
  <si>
    <t>Lietavos 19</t>
  </si>
  <si>
    <t>UAB "A.Žilinskio ir ko"</t>
  </si>
  <si>
    <t>Kompensavimo data</t>
  </si>
  <si>
    <t>Kosmonautų g. 22, Jonava</t>
  </si>
  <si>
    <t>Kosmonautų g. 8, Jonava</t>
  </si>
  <si>
    <t>Vilniaus g. 9, Jonava</t>
  </si>
  <si>
    <t>Kosmonautų g. 6, Jonava</t>
  </si>
  <si>
    <t>Nepritarę atnaujinimui namai, kurie nebus atnaujinami</t>
  </si>
  <si>
    <t>Iš jų administruoja JP</t>
  </si>
  <si>
    <t>Parko 1-1</t>
  </si>
  <si>
    <t>Parko 1-13</t>
  </si>
  <si>
    <t>Vidurkis</t>
  </si>
  <si>
    <t>UAB "Bodesa"</t>
  </si>
  <si>
    <t>UAB "Kėdainių apdaila"</t>
  </si>
  <si>
    <t>KJS 30710</t>
  </si>
  <si>
    <t>KJS 30705</t>
  </si>
  <si>
    <t>KJS 30706</t>
  </si>
  <si>
    <t>KJS 30709</t>
  </si>
  <si>
    <t>KJS 30708</t>
  </si>
  <si>
    <t>KJS 30707</t>
  </si>
  <si>
    <t>KJS 30704</t>
  </si>
  <si>
    <t>Kosmonautų g. 6-16</t>
  </si>
  <si>
    <t>Kosmonautų g. 6-46</t>
  </si>
  <si>
    <t>Kosmonautų g. 6-49</t>
  </si>
  <si>
    <t>Kosmonautų g. 12-27</t>
  </si>
  <si>
    <t>Kosmonautų g. 12-52</t>
  </si>
  <si>
    <t>Kosmonautų g. 22-15</t>
  </si>
  <si>
    <t>Kosmonautų g. 26-8</t>
  </si>
  <si>
    <t>Kosmonautų g. 26-23</t>
  </si>
  <si>
    <t>Kosmonautų g. 26-32</t>
  </si>
  <si>
    <t>Kosmonautų g. 22-37</t>
  </si>
  <si>
    <t>Vilniaus g. 9-17</t>
  </si>
  <si>
    <t>UAB "Statybų vizija", UAB "Ekodora"</t>
  </si>
  <si>
    <t>Pateiktos paraiškos</t>
  </si>
  <si>
    <t>A.Kulviečio g. 11</t>
  </si>
  <si>
    <t>Chemikų g. 21</t>
  </si>
  <si>
    <t>Laumės g. 2, Rukla</t>
  </si>
  <si>
    <t>P.Vaičiūno g. 8</t>
  </si>
  <si>
    <t>Suvalkiečių g. 3, Juškonys</t>
  </si>
  <si>
    <t>Nepateikta</t>
  </si>
  <si>
    <t>Chemikų g. 30-6</t>
  </si>
  <si>
    <t>P.VaIčiūno g. 10-15</t>
  </si>
  <si>
    <t>P.Vaičiūno g. 10-28</t>
  </si>
  <si>
    <t>208-06-07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</si>
</sst>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0"/>
    <numFmt numFmtId="166" formatCode="0.0%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sz val="10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FF0000"/>
      <name val="Times New Roman Baltic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96">
    <xf numFmtId="0" fontId="0" fillId="0" borderId="0" xfId="0"/>
    <xf numFmtId="0" fontId="0" fillId="0" borderId="0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8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3" borderId="7" xfId="0" applyFill="1" applyBorder="1"/>
    <xf numFmtId="0" fontId="0" fillId="4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0" fontId="0" fillId="4" borderId="19" xfId="0" applyFill="1" applyBorder="1"/>
    <xf numFmtId="0" fontId="0" fillId="4" borderId="19" xfId="0" applyFill="1" applyBorder="1" applyAlignment="1">
      <alignment horizontal="left" wrapText="1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13" xfId="0" applyFill="1" applyBorder="1"/>
    <xf numFmtId="0" fontId="0" fillId="3" borderId="22" xfId="0" applyFill="1" applyBorder="1"/>
    <xf numFmtId="10" fontId="0" fillId="3" borderId="5" xfId="0" applyNumberFormat="1" applyFill="1" applyBorder="1"/>
    <xf numFmtId="0" fontId="0" fillId="3" borderId="9" xfId="0" applyFill="1" applyBorder="1"/>
    <xf numFmtId="10" fontId="0" fillId="3" borderId="15" xfId="0" applyNumberFormat="1" applyFill="1" applyBorder="1"/>
    <xf numFmtId="10" fontId="0" fillId="3" borderId="6" xfId="0" applyNumberFormat="1" applyFill="1" applyBorder="1"/>
    <xf numFmtId="0" fontId="2" fillId="0" borderId="0" xfId="0" applyFont="1" applyBorder="1"/>
    <xf numFmtId="0" fontId="0" fillId="3" borderId="16" xfId="0" applyFill="1" applyBorder="1"/>
    <xf numFmtId="0" fontId="0" fillId="0" borderId="0" xfId="0" applyFill="1"/>
    <xf numFmtId="0" fontId="0" fillId="3" borderId="10" xfId="0" applyFill="1" applyBorder="1"/>
    <xf numFmtId="0" fontId="0" fillId="3" borderId="8" xfId="0" applyFill="1" applyBorder="1"/>
    <xf numFmtId="0" fontId="0" fillId="4" borderId="2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21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2" xfId="0" applyFill="1" applyBorder="1"/>
    <xf numFmtId="0" fontId="3" fillId="0" borderId="0" xfId="0" applyFont="1" applyFill="1" applyBorder="1" applyAlignment="1">
      <alignment horizontal="center"/>
    </xf>
    <xf numFmtId="0" fontId="0" fillId="3" borderId="11" xfId="0" applyFill="1" applyBorder="1"/>
    <xf numFmtId="0" fontId="0" fillId="0" borderId="0" xfId="0" applyFill="1" applyBorder="1"/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/>
    <xf numFmtId="0" fontId="0" fillId="0" borderId="18" xfId="0" applyBorder="1"/>
    <xf numFmtId="10" fontId="0" fillId="3" borderId="15" xfId="0" applyNumberFormat="1" applyFill="1" applyBorder="1" applyAlignment="1"/>
    <xf numFmtId="4" fontId="4" fillId="0" borderId="0" xfId="0" applyNumberFormat="1" applyFont="1" applyBorder="1"/>
    <xf numFmtId="0" fontId="0" fillId="4" borderId="1" xfId="0" applyFill="1" applyBorder="1" applyAlignment="1">
      <alignment horizontal="center" vertical="center" wrapText="1"/>
    </xf>
    <xf numFmtId="14" fontId="0" fillId="0" borderId="0" xfId="0" applyNumberFormat="1" applyFill="1" applyBorder="1"/>
    <xf numFmtId="0" fontId="6" fillId="3" borderId="16" xfId="0" applyFont="1" applyFill="1" applyBorder="1"/>
    <xf numFmtId="0" fontId="6" fillId="3" borderId="7" xfId="0" applyFont="1" applyFill="1" applyBorder="1"/>
    <xf numFmtId="0" fontId="2" fillId="3" borderId="7" xfId="0" applyFont="1" applyFill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0" fillId="0" borderId="32" xfId="0" applyNumberFormat="1" applyBorder="1"/>
    <xf numFmtId="10" fontId="0" fillId="3" borderId="5" xfId="2" applyNumberFormat="1" applyFont="1" applyFill="1" applyBorder="1"/>
    <xf numFmtId="0" fontId="0" fillId="3" borderId="5" xfId="0" applyFill="1" applyBorder="1"/>
    <xf numFmtId="14" fontId="0" fillId="0" borderId="0" xfId="0" applyNumberFormat="1" applyBorder="1"/>
    <xf numFmtId="16" fontId="0" fillId="0" borderId="0" xfId="0" applyNumberFormat="1" applyFill="1" applyBorder="1"/>
    <xf numFmtId="0" fontId="0" fillId="3" borderId="15" xfId="0" applyFill="1" applyBorder="1"/>
    <xf numFmtId="0" fontId="0" fillId="3" borderId="31" xfId="0" applyFill="1" applyBorder="1"/>
    <xf numFmtId="10" fontId="0" fillId="3" borderId="12" xfId="2" applyNumberFormat="1" applyFont="1" applyFill="1" applyBorder="1"/>
    <xf numFmtId="0" fontId="0" fillId="4" borderId="1" xfId="0" applyFill="1" applyBorder="1" applyAlignment="1">
      <alignment wrapText="1"/>
    </xf>
    <xf numFmtId="0" fontId="0" fillId="3" borderId="23" xfId="0" applyFill="1" applyBorder="1"/>
    <xf numFmtId="0" fontId="0" fillId="3" borderId="19" xfId="0" applyFill="1" applyBorder="1"/>
    <xf numFmtId="0" fontId="0" fillId="3" borderId="21" xfId="0" applyFill="1" applyBorder="1"/>
    <xf numFmtId="0" fontId="0" fillId="0" borderId="5" xfId="0" applyFill="1" applyBorder="1"/>
    <xf numFmtId="0" fontId="0" fillId="0" borderId="9" xfId="0" applyFill="1" applyBorder="1"/>
    <xf numFmtId="14" fontId="0" fillId="0" borderId="7" xfId="0" applyNumberFormat="1" applyFill="1" applyBorder="1"/>
    <xf numFmtId="14" fontId="0" fillId="0" borderId="26" xfId="0" applyNumberFormat="1" applyBorder="1"/>
    <xf numFmtId="0" fontId="0" fillId="0" borderId="15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6" xfId="0" applyFill="1" applyBorder="1"/>
    <xf numFmtId="0" fontId="3" fillId="0" borderId="32" xfId="0" applyFont="1" applyBorder="1"/>
    <xf numFmtId="0" fontId="3" fillId="0" borderId="32" xfId="0" applyFont="1" applyFill="1" applyBorder="1"/>
    <xf numFmtId="4" fontId="10" fillId="0" borderId="32" xfId="0" applyNumberFormat="1" applyFont="1" applyBorder="1"/>
    <xf numFmtId="0" fontId="0" fillId="0" borderId="32" xfId="0" applyFill="1" applyBorder="1"/>
    <xf numFmtId="0" fontId="6" fillId="3" borderId="9" xfId="0" applyFont="1" applyFill="1" applyBorder="1"/>
    <xf numFmtId="2" fontId="0" fillId="3" borderId="5" xfId="0" applyNumberFormat="1" applyFill="1" applyBorder="1"/>
    <xf numFmtId="0" fontId="6" fillId="3" borderId="5" xfId="0" applyFont="1" applyFill="1" applyBorder="1"/>
    <xf numFmtId="0" fontId="0" fillId="0" borderId="31" xfId="0" applyFill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/>
    <xf numFmtId="0" fontId="0" fillId="3" borderId="45" xfId="0" applyFill="1" applyBorder="1"/>
    <xf numFmtId="0" fontId="0" fillId="4" borderId="4" xfId="0" applyFill="1" applyBorder="1"/>
    <xf numFmtId="0" fontId="0" fillId="3" borderId="12" xfId="0" applyFill="1" applyBorder="1"/>
    <xf numFmtId="0" fontId="0" fillId="3" borderId="44" xfId="0" applyFill="1" applyBorder="1"/>
    <xf numFmtId="10" fontId="0" fillId="3" borderId="15" xfId="2" applyNumberFormat="1" applyFont="1" applyFill="1" applyBorder="1"/>
    <xf numFmtId="10" fontId="0" fillId="3" borderId="5" xfId="0" applyNumberFormat="1" applyFill="1" applyBorder="1" applyAlignment="1"/>
    <xf numFmtId="10" fontId="0" fillId="3" borderId="12" xfId="0" applyNumberFormat="1" applyFill="1" applyBorder="1" applyAlignment="1"/>
    <xf numFmtId="0" fontId="1" fillId="0" borderId="0" xfId="0" applyFont="1" applyFill="1" applyBorder="1" applyAlignment="1">
      <alignment horizontal="center"/>
    </xf>
    <xf numFmtId="3" fontId="10" fillId="0" borderId="32" xfId="0" applyNumberFormat="1" applyFont="1" applyBorder="1"/>
    <xf numFmtId="0" fontId="0" fillId="0" borderId="12" xfId="0" applyFill="1" applyBorder="1"/>
    <xf numFmtId="0" fontId="0" fillId="0" borderId="21" xfId="0" applyFill="1" applyBorder="1"/>
    <xf numFmtId="0" fontId="0" fillId="0" borderId="23" xfId="0" applyFill="1" applyBorder="1"/>
    <xf numFmtId="0" fontId="0" fillId="0" borderId="46" xfId="0" applyBorder="1"/>
    <xf numFmtId="0" fontId="0" fillId="0" borderId="0" xfId="0" applyFill="1" applyBorder="1" applyAlignment="1">
      <alignment horizontal="center" vertical="center"/>
    </xf>
    <xf numFmtId="10" fontId="0" fillId="0" borderId="0" xfId="0" applyNumberFormat="1" applyFill="1" applyBorder="1"/>
    <xf numFmtId="3" fontId="0" fillId="0" borderId="32" xfId="0" applyNumberFormat="1" applyBorder="1"/>
    <xf numFmtId="0" fontId="0" fillId="0" borderId="49" xfId="0" applyBorder="1"/>
    <xf numFmtId="0" fontId="0" fillId="0" borderId="51" xfId="0" applyBorder="1"/>
    <xf numFmtId="0" fontId="0" fillId="0" borderId="53" xfId="0" applyBorder="1"/>
    <xf numFmtId="2" fontId="0" fillId="0" borderId="49" xfId="0" applyNumberFormat="1" applyFill="1" applyBorder="1"/>
    <xf numFmtId="0" fontId="0" fillId="4" borderId="19" xfId="0" applyFill="1" applyBorder="1" applyAlignment="1">
      <alignment horizontal="center" wrapText="1"/>
    </xf>
    <xf numFmtId="0" fontId="0" fillId="0" borderId="54" xfId="0" applyBorder="1"/>
    <xf numFmtId="0" fontId="0" fillId="0" borderId="12" xfId="0" applyBorder="1"/>
    <xf numFmtId="0" fontId="0" fillId="0" borderId="50" xfId="0" applyBorder="1"/>
    <xf numFmtId="0" fontId="11" fillId="0" borderId="0" xfId="0" applyFont="1"/>
    <xf numFmtId="0" fontId="12" fillId="0" borderId="0" xfId="0" applyFont="1"/>
    <xf numFmtId="0" fontId="0" fillId="4" borderId="40" xfId="0" applyFill="1" applyBorder="1"/>
    <xf numFmtId="14" fontId="0" fillId="0" borderId="32" xfId="0" applyNumberFormat="1" applyBorder="1"/>
    <xf numFmtId="0" fontId="14" fillId="0" borderId="32" xfId="1" applyFont="1" applyFill="1" applyBorder="1" applyAlignment="1">
      <alignment horizontal="left" vertical="top" wrapText="1"/>
    </xf>
    <xf numFmtId="2" fontId="13" fillId="0" borderId="0" xfId="1" applyNumberFormat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horizontal="left" vertical="top" wrapText="1"/>
    </xf>
    <xf numFmtId="0" fontId="3" fillId="0" borderId="0" xfId="0" applyFont="1"/>
    <xf numFmtId="0" fontId="0" fillId="0" borderId="17" xfId="0" applyBorder="1"/>
    <xf numFmtId="0" fontId="0" fillId="0" borderId="38" xfId="0" applyFill="1" applyBorder="1"/>
    <xf numFmtId="0" fontId="0" fillId="4" borderId="32" xfId="0" applyFill="1" applyBorder="1"/>
    <xf numFmtId="0" fontId="0" fillId="0" borderId="13" xfId="0" applyBorder="1"/>
    <xf numFmtId="0" fontId="0" fillId="0" borderId="44" xfId="0" applyFill="1" applyBorder="1"/>
    <xf numFmtId="14" fontId="0" fillId="0" borderId="9" xfId="0" applyNumberFormat="1" applyFill="1" applyBorder="1"/>
    <xf numFmtId="4" fontId="4" fillId="0" borderId="12" xfId="0" applyNumberFormat="1" applyFont="1" applyBorder="1"/>
    <xf numFmtId="4" fontId="4" fillId="0" borderId="5" xfId="0" applyNumberFormat="1" applyFont="1" applyBorder="1"/>
    <xf numFmtId="0" fontId="0" fillId="4" borderId="30" xfId="0" applyFill="1" applyBorder="1"/>
    <xf numFmtId="0" fontId="0" fillId="4" borderId="37" xfId="0" applyFill="1" applyBorder="1"/>
    <xf numFmtId="0" fontId="0" fillId="4" borderId="50" xfId="0" applyFill="1" applyBorder="1"/>
    <xf numFmtId="0" fontId="0" fillId="4" borderId="55" xfId="0" applyFill="1" applyBorder="1"/>
    <xf numFmtId="0" fontId="0" fillId="4" borderId="26" xfId="0" applyFill="1" applyBorder="1"/>
    <xf numFmtId="0" fontId="0" fillId="4" borderId="49" xfId="0" applyFill="1" applyBorder="1"/>
    <xf numFmtId="0" fontId="0" fillId="4" borderId="27" xfId="0" applyFill="1" applyBorder="1"/>
    <xf numFmtId="14" fontId="0" fillId="0" borderId="5" xfId="0" applyNumberFormat="1" applyFill="1" applyBorder="1"/>
    <xf numFmtId="14" fontId="0" fillId="0" borderId="41" xfId="0" applyNumberFormat="1" applyBorder="1"/>
    <xf numFmtId="14" fontId="0" fillId="0" borderId="30" xfId="0" applyNumberFormat="1" applyBorder="1"/>
    <xf numFmtId="14" fontId="0" fillId="0" borderId="58" xfId="0" applyNumberFormat="1" applyBorder="1"/>
    <xf numFmtId="14" fontId="0" fillId="0" borderId="13" xfId="0" applyNumberFormat="1" applyFill="1" applyBorder="1"/>
    <xf numFmtId="10" fontId="0" fillId="0" borderId="5" xfId="0" applyNumberFormat="1" applyFill="1" applyBorder="1"/>
    <xf numFmtId="0" fontId="0" fillId="0" borderId="7" xfId="0" applyFill="1" applyBorder="1"/>
    <xf numFmtId="4" fontId="0" fillId="0" borderId="5" xfId="0" applyNumberFormat="1" applyFill="1" applyBorder="1"/>
    <xf numFmtId="14" fontId="0" fillId="0" borderId="26" xfId="0" applyNumberFormat="1" applyFill="1" applyBorder="1"/>
    <xf numFmtId="2" fontId="0" fillId="0" borderId="32" xfId="0" applyNumberFormat="1" applyFill="1" applyBorder="1"/>
    <xf numFmtId="14" fontId="0" fillId="0" borderId="27" xfId="0" applyNumberFormat="1" applyFill="1" applyBorder="1"/>
    <xf numFmtId="14" fontId="0" fillId="0" borderId="30" xfId="0" applyNumberFormat="1" applyFill="1" applyBorder="1"/>
    <xf numFmtId="2" fontId="0" fillId="0" borderId="37" xfId="0" applyNumberFormat="1" applyFill="1" applyBorder="1"/>
    <xf numFmtId="2" fontId="0" fillId="0" borderId="50" xfId="0" applyNumberFormat="1" applyFill="1" applyBorder="1"/>
    <xf numFmtId="0" fontId="0" fillId="0" borderId="11" xfId="0" applyFill="1" applyBorder="1"/>
    <xf numFmtId="0" fontId="0" fillId="0" borderId="22" xfId="0" applyFill="1" applyBorder="1"/>
    <xf numFmtId="14" fontId="0" fillId="0" borderId="35" xfId="0" applyNumberFormat="1" applyFill="1" applyBorder="1"/>
    <xf numFmtId="2" fontId="0" fillId="0" borderId="36" xfId="0" applyNumberFormat="1" applyFill="1" applyBorder="1"/>
    <xf numFmtId="2" fontId="0" fillId="0" borderId="48" xfId="0" applyNumberFormat="1" applyFill="1" applyBorder="1"/>
    <xf numFmtId="14" fontId="0" fillId="0" borderId="25" xfId="0" applyNumberFormat="1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49" xfId="0" applyFill="1" applyBorder="1"/>
    <xf numFmtId="0" fontId="0" fillId="0" borderId="5" xfId="0" applyFill="1" applyBorder="1" applyAlignment="1"/>
    <xf numFmtId="14" fontId="0" fillId="0" borderId="16" xfId="0" applyNumberFormat="1" applyFill="1" applyBorder="1"/>
    <xf numFmtId="10" fontId="0" fillId="0" borderId="15" xfId="0" applyNumberFormat="1" applyFill="1" applyBorder="1"/>
    <xf numFmtId="0" fontId="0" fillId="0" borderId="16" xfId="0" applyFill="1" applyBorder="1"/>
    <xf numFmtId="4" fontId="0" fillId="0" borderId="7" xfId="0" applyNumberFormat="1" applyFill="1" applyBorder="1"/>
    <xf numFmtId="10" fontId="0" fillId="0" borderId="15" xfId="0" applyNumberFormat="1" applyFill="1" applyBorder="1" applyAlignment="1">
      <alignment wrapText="1"/>
    </xf>
    <xf numFmtId="0" fontId="0" fillId="0" borderId="6" xfId="0" applyFill="1" applyBorder="1"/>
    <xf numFmtId="0" fontId="0" fillId="0" borderId="39" xfId="0" applyFill="1" applyBorder="1"/>
    <xf numFmtId="14" fontId="0" fillId="0" borderId="10" xfId="0" applyNumberFormat="1" applyFill="1" applyBorder="1"/>
    <xf numFmtId="14" fontId="0" fillId="0" borderId="24" xfId="0" applyNumberFormat="1" applyFill="1" applyBorder="1"/>
    <xf numFmtId="0" fontId="0" fillId="0" borderId="8" xfId="0" applyFill="1" applyBorder="1"/>
    <xf numFmtId="14" fontId="0" fillId="0" borderId="28" xfId="0" applyNumberFormat="1" applyFill="1" applyBorder="1"/>
    <xf numFmtId="2" fontId="0" fillId="0" borderId="51" xfId="0" applyNumberFormat="1" applyFill="1" applyBorder="1"/>
    <xf numFmtId="14" fontId="0" fillId="0" borderId="29" xfId="0" applyNumberFormat="1" applyFill="1" applyBorder="1"/>
    <xf numFmtId="16" fontId="0" fillId="0" borderId="11" xfId="0" applyNumberFormat="1" applyFill="1" applyBorder="1"/>
    <xf numFmtId="14" fontId="0" fillId="0" borderId="11" xfId="0" applyNumberFormat="1" applyFill="1" applyBorder="1"/>
    <xf numFmtId="14" fontId="0" fillId="0" borderId="6" xfId="0" applyNumberFormat="1" applyFill="1" applyBorder="1"/>
    <xf numFmtId="10" fontId="0" fillId="0" borderId="6" xfId="0" applyNumberFormat="1" applyFill="1" applyBorder="1"/>
    <xf numFmtId="0" fontId="0" fillId="0" borderId="10" xfId="0" applyFill="1" applyBorder="1"/>
    <xf numFmtId="14" fontId="0" fillId="0" borderId="8" xfId="0" applyNumberFormat="1" applyFill="1" applyBorder="1"/>
    <xf numFmtId="0" fontId="0" fillId="0" borderId="24" xfId="0" applyFill="1" applyBorder="1"/>
    <xf numFmtId="0" fontId="0" fillId="0" borderId="33" xfId="0" applyFill="1" applyBorder="1"/>
    <xf numFmtId="0" fontId="0" fillId="0" borderId="52" xfId="0" applyFill="1" applyBorder="1"/>
    <xf numFmtId="0" fontId="0" fillId="0" borderId="25" xfId="0" applyFill="1" applyBorder="1"/>
    <xf numFmtId="0" fontId="0" fillId="0" borderId="34" xfId="0" applyFill="1" applyBorder="1"/>
    <xf numFmtId="10" fontId="0" fillId="0" borderId="5" xfId="2" applyNumberFormat="1" applyFont="1" applyFill="1" applyBorder="1"/>
    <xf numFmtId="4" fontId="0" fillId="0" borderId="9" xfId="0" applyNumberFormat="1" applyFill="1" applyBorder="1"/>
    <xf numFmtId="14" fontId="0" fillId="0" borderId="12" xfId="0" applyNumberFormat="1" applyFill="1" applyBorder="1"/>
    <xf numFmtId="14" fontId="0" fillId="0" borderId="15" xfId="0" applyNumberFormat="1" applyFill="1" applyBorder="1"/>
    <xf numFmtId="16" fontId="0" fillId="0" borderId="7" xfId="0" applyNumberFormat="1" applyFill="1" applyBorder="1"/>
    <xf numFmtId="14" fontId="0" fillId="0" borderId="22" xfId="0" applyNumberFormat="1" applyFill="1" applyBorder="1"/>
    <xf numFmtId="14" fontId="0" fillId="0" borderId="14" xfId="0" applyNumberFormat="1" applyFill="1" applyBorder="1"/>
    <xf numFmtId="16" fontId="0" fillId="0" borderId="5" xfId="0" applyNumberFormat="1" applyFill="1" applyBorder="1"/>
    <xf numFmtId="16" fontId="0" fillId="0" borderId="6" xfId="0" applyNumberFormat="1" applyFill="1" applyBorder="1"/>
    <xf numFmtId="4" fontId="0" fillId="0" borderId="39" xfId="0" applyNumberFormat="1" applyFill="1" applyBorder="1"/>
    <xf numFmtId="10" fontId="0" fillId="0" borderId="21" xfId="2" applyNumberFormat="1" applyFont="1" applyFill="1" applyBorder="1"/>
    <xf numFmtId="0" fontId="0" fillId="0" borderId="47" xfId="0" applyFill="1" applyBorder="1"/>
    <xf numFmtId="0" fontId="0" fillId="0" borderId="14" xfId="0" applyFill="1" applyBorder="1"/>
    <xf numFmtId="10" fontId="0" fillId="0" borderId="12" xfId="2" applyNumberFormat="1" applyFont="1" applyFill="1" applyBorder="1"/>
    <xf numFmtId="0" fontId="0" fillId="0" borderId="19" xfId="0" applyBorder="1"/>
    <xf numFmtId="0" fontId="3" fillId="0" borderId="0" xfId="0" applyFont="1" applyFill="1" applyBorder="1"/>
    <xf numFmtId="0" fontId="15" fillId="0" borderId="32" xfId="0" applyFont="1" applyBorder="1"/>
    <xf numFmtId="0" fontId="15" fillId="0" borderId="32" xfId="0" applyFont="1" applyFill="1" applyBorder="1"/>
    <xf numFmtId="10" fontId="0" fillId="0" borderId="32" xfId="2" applyNumberFormat="1" applyFont="1" applyBorder="1"/>
    <xf numFmtId="10" fontId="15" fillId="0" borderId="32" xfId="2" applyNumberFormat="1" applyFont="1" applyBorder="1"/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8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quotePrefix="1" applyNumberFormat="1" applyFont="1" applyFill="1" applyBorder="1" applyAlignment="1">
      <alignment vertical="top" wrapText="1"/>
    </xf>
    <xf numFmtId="165" fontId="20" fillId="0" borderId="0" xfId="0" quotePrefix="1" applyNumberFormat="1" applyFont="1" applyBorder="1" applyAlignment="1">
      <alignment vertical="top" wrapText="1"/>
    </xf>
    <xf numFmtId="0" fontId="20" fillId="0" borderId="0" xfId="0" quotePrefix="1" applyNumberFormat="1" applyFont="1" applyBorder="1" applyAlignment="1">
      <alignment vertical="top" wrapText="1"/>
    </xf>
    <xf numFmtId="165" fontId="20" fillId="0" borderId="0" xfId="0" quotePrefix="1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165" fontId="20" fillId="0" borderId="0" xfId="0" quotePrefix="1" applyNumberFormat="1" applyFont="1" applyAlignment="1">
      <alignment vertical="top" wrapText="1"/>
    </xf>
    <xf numFmtId="0" fontId="20" fillId="0" borderId="0" xfId="0" quotePrefix="1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9" fillId="0" borderId="0" xfId="0" applyFont="1" applyFill="1" applyBorder="1" applyAlignment="1">
      <alignment vertical="top"/>
    </xf>
    <xf numFmtId="0" fontId="19" fillId="0" borderId="17" xfId="0" applyFont="1" applyBorder="1" applyAlignment="1">
      <alignment vertical="top"/>
    </xf>
    <xf numFmtId="0" fontId="20" fillId="0" borderId="17" xfId="0" applyFont="1" applyBorder="1" applyAlignment="1">
      <alignment vertical="top" wrapText="1"/>
    </xf>
    <xf numFmtId="0" fontId="20" fillId="0" borderId="17" xfId="0" quotePrefix="1" applyNumberFormat="1" applyFont="1" applyFill="1" applyBorder="1" applyAlignment="1">
      <alignment vertical="top" wrapText="1"/>
    </xf>
    <xf numFmtId="165" fontId="20" fillId="0" borderId="17" xfId="0" quotePrefix="1" applyNumberFormat="1" applyFont="1" applyFill="1" applyBorder="1" applyAlignment="1">
      <alignment vertical="top" wrapText="1"/>
    </xf>
    <xf numFmtId="0" fontId="20" fillId="0" borderId="17" xfId="0" applyFont="1" applyFill="1" applyBorder="1" applyAlignment="1">
      <alignment vertical="top" wrapText="1"/>
    </xf>
    <xf numFmtId="0" fontId="20" fillId="2" borderId="0" xfId="0" quotePrefix="1" applyNumberFormat="1" applyFont="1" applyFill="1" applyBorder="1" applyAlignment="1">
      <alignment vertical="top" wrapText="1"/>
    </xf>
    <xf numFmtId="0" fontId="20" fillId="0" borderId="0" xfId="0" quotePrefix="1" applyNumberFormat="1" applyFont="1" applyFill="1" applyAlignment="1">
      <alignment vertical="top" wrapText="1"/>
    </xf>
    <xf numFmtId="165" fontId="20" fillId="0" borderId="17" xfId="0" quotePrefix="1" applyNumberFormat="1" applyFont="1" applyBorder="1" applyAlignment="1">
      <alignment vertical="top" wrapText="1"/>
    </xf>
    <xf numFmtId="0" fontId="20" fillId="0" borderId="17" xfId="0" quotePrefix="1" applyNumberFormat="1" applyFont="1" applyBorder="1" applyAlignment="1">
      <alignment vertical="top" wrapText="1"/>
    </xf>
    <xf numFmtId="0" fontId="19" fillId="0" borderId="17" xfId="0" applyFont="1" applyFill="1" applyBorder="1" applyAlignment="1">
      <alignment vertical="top"/>
    </xf>
    <xf numFmtId="0" fontId="19" fillId="0" borderId="18" xfId="0" applyFont="1" applyBorder="1" applyAlignment="1">
      <alignment vertical="top"/>
    </xf>
    <xf numFmtId="0" fontId="21" fillId="0" borderId="0" xfId="0" applyFont="1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15" fillId="0" borderId="49" xfId="0" applyFont="1" applyBorder="1"/>
    <xf numFmtId="0" fontId="3" fillId="0" borderId="32" xfId="0" applyFont="1" applyBorder="1" applyAlignment="1">
      <alignment horizontal="right"/>
    </xf>
    <xf numFmtId="14" fontId="0" fillId="0" borderId="23" xfId="0" applyNumberFormat="1" applyFill="1" applyBorder="1"/>
    <xf numFmtId="10" fontId="0" fillId="0" borderId="21" xfId="0" applyNumberFormat="1" applyFill="1" applyBorder="1"/>
    <xf numFmtId="0" fontId="0" fillId="0" borderId="40" xfId="0" applyFill="1" applyBorder="1"/>
    <xf numFmtId="10" fontId="0" fillId="0" borderId="15" xfId="2" applyNumberFormat="1" applyFont="1" applyFill="1" applyBorder="1"/>
    <xf numFmtId="10" fontId="0" fillId="0" borderId="40" xfId="0" applyNumberFormat="1" applyFill="1" applyBorder="1"/>
    <xf numFmtId="10" fontId="0" fillId="0" borderId="12" xfId="0" applyNumberFormat="1" applyFill="1" applyBorder="1"/>
    <xf numFmtId="16" fontId="0" fillId="0" borderId="14" xfId="0" applyNumberFormat="1" applyFill="1" applyBorder="1"/>
    <xf numFmtId="0" fontId="0" fillId="0" borderId="12" xfId="0" applyFill="1" applyBorder="1" applyAlignment="1"/>
    <xf numFmtId="0" fontId="0" fillId="0" borderId="45" xfId="0" applyFill="1" applyBorder="1"/>
    <xf numFmtId="10" fontId="0" fillId="0" borderId="54" xfId="2" applyNumberFormat="1" applyFont="1" applyBorder="1"/>
    <xf numFmtId="10" fontId="15" fillId="0" borderId="54" xfId="2" applyNumberFormat="1" applyFont="1" applyBorder="1"/>
    <xf numFmtId="2" fontId="23" fillId="0" borderId="37" xfId="1" applyNumberFormat="1" applyFont="1" applyFill="1" applyBorder="1" applyAlignment="1">
      <alignment horizontal="center" vertical="top" wrapText="1"/>
    </xf>
    <xf numFmtId="0" fontId="22" fillId="0" borderId="32" xfId="1" applyFont="1" applyFill="1" applyBorder="1" applyAlignment="1">
      <alignment horizontal="left" vertical="top" wrapText="1"/>
    </xf>
    <xf numFmtId="1" fontId="23" fillId="0" borderId="32" xfId="1" applyNumberFormat="1" applyFont="1" applyFill="1" applyBorder="1" applyAlignment="1">
      <alignment horizontal="center" vertical="top" wrapText="1"/>
    </xf>
    <xf numFmtId="2" fontId="23" fillId="0" borderId="32" xfId="1" applyNumberFormat="1" applyFont="1" applyFill="1" applyBorder="1" applyAlignment="1">
      <alignment horizontal="center" vertical="top" wrapText="1"/>
    </xf>
    <xf numFmtId="2" fontId="24" fillId="0" borderId="32" xfId="0" applyNumberFormat="1" applyFont="1" applyBorder="1"/>
    <xf numFmtId="0" fontId="23" fillId="0" borderId="32" xfId="1" applyFont="1" applyFill="1" applyBorder="1" applyAlignment="1">
      <alignment horizontal="left" vertical="top" wrapText="1"/>
    </xf>
    <xf numFmtId="0" fontId="22" fillId="0" borderId="32" xfId="1" applyFont="1" applyFill="1" applyBorder="1" applyAlignment="1">
      <alignment horizontal="justify" vertical="top" wrapText="1"/>
    </xf>
    <xf numFmtId="2" fontId="22" fillId="0" borderId="32" xfId="1" applyNumberFormat="1" applyFont="1" applyFill="1" applyBorder="1" applyAlignment="1">
      <alignment horizontal="center" vertical="top" wrapText="1"/>
    </xf>
    <xf numFmtId="0" fontId="23" fillId="0" borderId="32" xfId="1" applyFont="1" applyFill="1" applyBorder="1" applyAlignment="1">
      <alignment horizontal="justify" vertical="top" wrapText="1"/>
    </xf>
    <xf numFmtId="0" fontId="22" fillId="0" borderId="32" xfId="1" applyFont="1" applyFill="1" applyBorder="1" applyAlignment="1">
      <alignment horizontal="left"/>
    </xf>
    <xf numFmtId="1" fontId="23" fillId="0" borderId="32" xfId="1" applyNumberFormat="1" applyFont="1" applyFill="1" applyBorder="1" applyAlignment="1">
      <alignment horizontal="center"/>
    </xf>
    <xf numFmtId="2" fontId="22" fillId="0" borderId="32" xfId="1" applyNumberFormat="1" applyFont="1" applyFill="1" applyBorder="1" applyAlignment="1">
      <alignment horizontal="center"/>
    </xf>
    <xf numFmtId="0" fontId="22" fillId="0" borderId="32" xfId="1" applyFont="1" applyFill="1" applyBorder="1"/>
    <xf numFmtId="1" fontId="22" fillId="0" borderId="32" xfId="1" applyNumberFormat="1" applyFont="1" applyFill="1" applyBorder="1" applyAlignment="1">
      <alignment horizontal="center"/>
    </xf>
    <xf numFmtId="0" fontId="22" fillId="0" borderId="42" xfId="1" applyFont="1" applyFill="1" applyBorder="1" applyAlignment="1">
      <alignment horizontal="left" vertical="top" wrapText="1"/>
    </xf>
    <xf numFmtId="1" fontId="23" fillId="0" borderId="42" xfId="1" applyNumberFormat="1" applyFont="1" applyFill="1" applyBorder="1" applyAlignment="1">
      <alignment horizontal="center" vertical="top" wrapText="1"/>
    </xf>
    <xf numFmtId="2" fontId="23" fillId="0" borderId="42" xfId="1" applyNumberFormat="1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56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4" fillId="4" borderId="57" xfId="0" applyFont="1" applyFill="1" applyBorder="1" applyAlignment="1">
      <alignment horizontal="left" vertical="center" wrapText="1"/>
    </xf>
    <xf numFmtId="0" fontId="25" fillId="0" borderId="32" xfId="0" applyFont="1" applyBorder="1"/>
    <xf numFmtId="10" fontId="25" fillId="0" borderId="32" xfId="2" applyNumberFormat="1" applyFont="1" applyBorder="1"/>
    <xf numFmtId="14" fontId="0" fillId="0" borderId="27" xfId="0" applyNumberFormat="1" applyBorder="1"/>
    <xf numFmtId="14" fontId="0" fillId="0" borderId="43" xfId="0" applyNumberFormat="1" applyBorder="1"/>
    <xf numFmtId="16" fontId="0" fillId="0" borderId="15" xfId="0" applyNumberFormat="1" applyFill="1" applyBorder="1"/>
    <xf numFmtId="0" fontId="0" fillId="0" borderId="7" xfId="0" applyBorder="1"/>
    <xf numFmtId="0" fontId="0" fillId="0" borderId="40" xfId="0" applyBorder="1"/>
    <xf numFmtId="4" fontId="4" fillId="0" borderId="40" xfId="0" applyNumberFormat="1" applyFont="1" applyBorder="1"/>
    <xf numFmtId="0" fontId="0" fillId="4" borderId="46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31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2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14" fontId="0" fillId="0" borderId="5" xfId="0" applyNumberFormat="1" applyBorder="1"/>
    <xf numFmtId="14" fontId="0" fillId="0" borderId="25" xfId="0" applyNumberFormat="1" applyBorder="1"/>
    <xf numFmtId="14" fontId="0" fillId="0" borderId="55" xfId="0" applyNumberFormat="1" applyBorder="1"/>
    <xf numFmtId="0" fontId="24" fillId="4" borderId="19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2" fontId="0" fillId="4" borderId="32" xfId="0" applyNumberFormat="1" applyFill="1" applyBorder="1"/>
    <xf numFmtId="0" fontId="0" fillId="5" borderId="32" xfId="0" applyFill="1" applyBorder="1"/>
    <xf numFmtId="2" fontId="0" fillId="5" borderId="32" xfId="0" applyNumberFormat="1" applyFill="1" applyBorder="1"/>
    <xf numFmtId="0" fontId="3" fillId="4" borderId="32" xfId="0" applyFont="1" applyFill="1" applyBorder="1"/>
    <xf numFmtId="0" fontId="3" fillId="4" borderId="32" xfId="0" applyFont="1" applyFill="1" applyBorder="1" applyAlignment="1">
      <alignment wrapText="1"/>
    </xf>
    <xf numFmtId="14" fontId="0" fillId="4" borderId="9" xfId="0" applyNumberFormat="1" applyFill="1" applyBorder="1"/>
    <xf numFmtId="10" fontId="0" fillId="4" borderId="5" xfId="0" applyNumberFormat="1" applyFill="1" applyBorder="1"/>
    <xf numFmtId="4" fontId="0" fillId="4" borderId="5" xfId="0" applyNumberFormat="1" applyFill="1" applyBorder="1"/>
    <xf numFmtId="14" fontId="0" fillId="4" borderId="7" xfId="0" applyNumberFormat="1" applyFill="1" applyBorder="1"/>
    <xf numFmtId="14" fontId="0" fillId="4" borderId="30" xfId="0" applyNumberFormat="1" applyFill="1" applyBorder="1"/>
    <xf numFmtId="2" fontId="0" fillId="4" borderId="37" xfId="0" applyNumberFormat="1" applyFill="1" applyBorder="1"/>
    <xf numFmtId="2" fontId="0" fillId="4" borderId="50" xfId="0" applyNumberFormat="1" applyFill="1" applyBorder="1"/>
    <xf numFmtId="14" fontId="0" fillId="4" borderId="27" xfId="0" applyNumberFormat="1" applyFill="1" applyBorder="1"/>
    <xf numFmtId="14" fontId="0" fillId="4" borderId="26" xfId="0" applyNumberFormat="1" applyFill="1" applyBorder="1"/>
    <xf numFmtId="2" fontId="0" fillId="4" borderId="49" xfId="0" applyNumberFormat="1" applyFill="1" applyBorder="1"/>
    <xf numFmtId="0" fontId="0" fillId="4" borderId="15" xfId="0" applyFill="1" applyBorder="1"/>
    <xf numFmtId="14" fontId="0" fillId="4" borderId="16" xfId="0" applyNumberFormat="1" applyFill="1" applyBorder="1"/>
    <xf numFmtId="10" fontId="0" fillId="4" borderId="15" xfId="0" applyNumberFormat="1" applyFill="1" applyBorder="1"/>
    <xf numFmtId="0" fontId="0" fillId="4" borderId="16" xfId="0" applyFill="1" applyBorder="1"/>
    <xf numFmtId="14" fontId="0" fillId="0" borderId="9" xfId="0" applyNumberFormat="1" applyBorder="1"/>
    <xf numFmtId="14" fontId="0" fillId="4" borderId="6" xfId="0" applyNumberFormat="1" applyFill="1" applyBorder="1"/>
    <xf numFmtId="10" fontId="0" fillId="4" borderId="6" xfId="0" applyNumberFormat="1" applyFill="1" applyBorder="1"/>
    <xf numFmtId="4" fontId="0" fillId="4" borderId="8" xfId="0" applyNumberFormat="1" applyFill="1" applyBorder="1"/>
    <xf numFmtId="14" fontId="0" fillId="4" borderId="8" xfId="0" applyNumberFormat="1" applyFill="1" applyBorder="1"/>
    <xf numFmtId="14" fontId="0" fillId="4" borderId="28" xfId="0" applyNumberFormat="1" applyFill="1" applyBorder="1"/>
    <xf numFmtId="2" fontId="0" fillId="4" borderId="34" xfId="0" applyNumberFormat="1" applyFill="1" applyBorder="1"/>
    <xf numFmtId="2" fontId="0" fillId="4" borderId="51" xfId="0" applyNumberFormat="1" applyFill="1" applyBorder="1"/>
    <xf numFmtId="14" fontId="0" fillId="4" borderId="29" xfId="0" applyNumberFormat="1" applyFill="1" applyBorder="1"/>
    <xf numFmtId="0" fontId="0" fillId="4" borderId="60" xfId="0" applyFill="1" applyBorder="1"/>
    <xf numFmtId="0" fontId="0" fillId="4" borderId="61" xfId="0" applyFill="1" applyBorder="1"/>
    <xf numFmtId="0" fontId="0" fillId="0" borderId="37" xfId="0" applyBorder="1"/>
    <xf numFmtId="0" fontId="0" fillId="4" borderId="11" xfId="0" applyFill="1" applyBorder="1"/>
    <xf numFmtId="2" fontId="0" fillId="0" borderId="0" xfId="0" applyNumberFormat="1"/>
    <xf numFmtId="0" fontId="0" fillId="3" borderId="59" xfId="0" applyFill="1" applyBorder="1"/>
    <xf numFmtId="0" fontId="0" fillId="3" borderId="14" xfId="0" applyFill="1" applyBorder="1"/>
    <xf numFmtId="4" fontId="0" fillId="0" borderId="6" xfId="0" applyNumberFormat="1" applyFill="1" applyBorder="1"/>
    <xf numFmtId="0" fontId="0" fillId="0" borderId="11" xfId="0" applyBorder="1"/>
    <xf numFmtId="4" fontId="0" fillId="0" borderId="21" xfId="0" applyNumberFormat="1" applyFill="1" applyBorder="1"/>
    <xf numFmtId="0" fontId="0" fillId="0" borderId="46" xfId="0" applyFill="1" applyBorder="1"/>
    <xf numFmtId="0" fontId="0" fillId="4" borderId="47" xfId="0" applyFill="1" applyBorder="1"/>
    <xf numFmtId="0" fontId="12" fillId="0" borderId="5" xfId="0" applyFont="1" applyBorder="1"/>
    <xf numFmtId="0" fontId="12" fillId="0" borderId="40" xfId="0" applyFont="1" applyBorder="1"/>
    <xf numFmtId="0" fontId="0" fillId="4" borderId="62" xfId="0" applyFill="1" applyBorder="1"/>
    <xf numFmtId="14" fontId="0" fillId="0" borderId="13" xfId="0" applyNumberFormat="1" applyBorder="1"/>
    <xf numFmtId="10" fontId="0" fillId="0" borderId="0" xfId="2" applyNumberFormat="1" applyFont="1"/>
    <xf numFmtId="166" fontId="0" fillId="0" borderId="32" xfId="2" applyNumberFormat="1" applyFont="1" applyBorder="1"/>
    <xf numFmtId="4" fontId="0" fillId="4" borderId="7" xfId="0" applyNumberFormat="1" applyFill="1" applyBorder="1"/>
    <xf numFmtId="14" fontId="0" fillId="0" borderId="16" xfId="0" applyNumberFormat="1" applyBorder="1"/>
    <xf numFmtId="16" fontId="0" fillId="4" borderId="11" xfId="0" applyNumberFormat="1" applyFill="1" applyBorder="1"/>
    <xf numFmtId="14" fontId="0" fillId="4" borderId="5" xfId="0" applyNumberFormat="1" applyFill="1" applyBorder="1"/>
    <xf numFmtId="14" fontId="0" fillId="4" borderId="11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36" xfId="0" applyBorder="1"/>
    <xf numFmtId="0" fontId="0" fillId="0" borderId="62" xfId="0" applyBorder="1"/>
    <xf numFmtId="0" fontId="0" fillId="0" borderId="64" xfId="0" applyFill="1" applyBorder="1"/>
    <xf numFmtId="10" fontId="0" fillId="4" borderId="15" xfId="0" applyNumberFormat="1" applyFill="1" applyBorder="1" applyAlignment="1">
      <alignment wrapText="1"/>
    </xf>
    <xf numFmtId="16" fontId="0" fillId="4" borderId="7" xfId="0" applyNumberFormat="1" applyFill="1" applyBorder="1"/>
    <xf numFmtId="10" fontId="0" fillId="4" borderId="5" xfId="2" applyNumberFormat="1" applyFont="1" applyFill="1" applyBorder="1"/>
    <xf numFmtId="4" fontId="0" fillId="4" borderId="9" xfId="0" applyNumberFormat="1" applyFill="1" applyBorder="1"/>
    <xf numFmtId="0" fontId="0" fillId="4" borderId="0" xfId="0" applyFill="1" applyBorder="1"/>
    <xf numFmtId="0" fontId="0" fillId="0" borderId="13" xfId="0" applyFill="1" applyBorder="1"/>
    <xf numFmtId="0" fontId="12" fillId="0" borderId="9" xfId="0" applyFont="1" applyBorder="1"/>
    <xf numFmtId="0" fontId="0" fillId="0" borderId="31" xfId="0" applyBorder="1"/>
    <xf numFmtId="166" fontId="0" fillId="0" borderId="32" xfId="2" applyNumberFormat="1" applyFont="1" applyFill="1" applyBorder="1"/>
    <xf numFmtId="4" fontId="0" fillId="4" borderId="12" xfId="0" applyNumberFormat="1" applyFill="1" applyBorder="1"/>
    <xf numFmtId="0" fontId="12" fillId="0" borderId="13" xfId="0" applyFont="1" applyBorder="1"/>
    <xf numFmtId="0" fontId="0" fillId="4" borderId="0" xfId="0" applyFill="1"/>
    <xf numFmtId="0" fontId="0" fillId="4" borderId="13" xfId="0" applyFill="1" applyBorder="1"/>
    <xf numFmtId="14" fontId="0" fillId="0" borderId="7" xfId="0" applyNumberFormat="1" applyBorder="1"/>
    <xf numFmtId="0" fontId="24" fillId="5" borderId="32" xfId="0" applyFont="1" applyFill="1" applyBorder="1"/>
    <xf numFmtId="0" fontId="22" fillId="5" borderId="32" xfId="1" applyFont="1" applyFill="1" applyBorder="1" applyAlignment="1">
      <alignment horizontal="left" vertical="top" wrapText="1"/>
    </xf>
    <xf numFmtId="1" fontId="23" fillId="5" borderId="32" xfId="1" applyNumberFormat="1" applyFont="1" applyFill="1" applyBorder="1" applyAlignment="1">
      <alignment horizontal="center" vertical="top" wrapText="1"/>
    </xf>
    <xf numFmtId="2" fontId="23" fillId="5" borderId="32" xfId="1" applyNumberFormat="1" applyFont="1" applyFill="1" applyBorder="1" applyAlignment="1">
      <alignment horizontal="center" vertical="top" wrapText="1"/>
    </xf>
    <xf numFmtId="2" fontId="24" fillId="5" borderId="32" xfId="0" applyNumberFormat="1" applyFont="1" applyFill="1" applyBorder="1"/>
    <xf numFmtId="0" fontId="23" fillId="5" borderId="32" xfId="1" applyFont="1" applyFill="1" applyBorder="1" applyAlignment="1">
      <alignment horizontal="left" vertical="top" wrapText="1"/>
    </xf>
    <xf numFmtId="0" fontId="22" fillId="5" borderId="32" xfId="1" applyFont="1" applyFill="1" applyBorder="1" applyAlignment="1">
      <alignment horizontal="justify" vertical="top" wrapText="1"/>
    </xf>
    <xf numFmtId="1" fontId="22" fillId="5" borderId="32" xfId="1" applyNumberFormat="1" applyFont="1" applyFill="1" applyBorder="1" applyAlignment="1">
      <alignment horizontal="center" vertical="top" wrapText="1"/>
    </xf>
    <xf numFmtId="2" fontId="22" fillId="5" borderId="32" xfId="1" applyNumberFormat="1" applyFont="1" applyFill="1" applyBorder="1" applyAlignment="1">
      <alignment horizontal="center" vertical="top" wrapText="1"/>
    </xf>
    <xf numFmtId="0" fontId="12" fillId="0" borderId="12" xfId="0" applyFont="1" applyBorder="1"/>
    <xf numFmtId="0" fontId="0" fillId="4" borderId="44" xfId="0" applyFill="1" applyBorder="1"/>
    <xf numFmtId="0" fontId="0" fillId="0" borderId="44" xfId="0" applyBorder="1"/>
    <xf numFmtId="0" fontId="0" fillId="4" borderId="65" xfId="0" applyFill="1" applyBorder="1"/>
    <xf numFmtId="0" fontId="0" fillId="4" borderId="34" xfId="0" applyFill="1" applyBorder="1"/>
    <xf numFmtId="0" fontId="0" fillId="0" borderId="62" xfId="0" applyFill="1" applyBorder="1"/>
    <xf numFmtId="2" fontId="23" fillId="0" borderId="62" xfId="1" applyNumberFormat="1" applyFont="1" applyFill="1" applyBorder="1" applyAlignment="1">
      <alignment horizontal="center" vertical="top" wrapText="1"/>
    </xf>
    <xf numFmtId="0" fontId="0" fillId="5" borderId="62" xfId="0" applyFill="1" applyBorder="1"/>
    <xf numFmtId="14" fontId="0" fillId="0" borderId="37" xfId="0" applyNumberFormat="1" applyBorder="1"/>
    <xf numFmtId="166" fontId="0" fillId="0" borderId="37" xfId="2" applyNumberFormat="1" applyFont="1" applyFill="1" applyBorder="1"/>
    <xf numFmtId="166" fontId="0" fillId="0" borderId="62" xfId="2" applyNumberFormat="1" applyFont="1" applyFill="1" applyBorder="1"/>
    <xf numFmtId="0" fontId="0" fillId="4" borderId="42" xfId="0" applyFill="1" applyBorder="1"/>
    <xf numFmtId="14" fontId="0" fillId="0" borderId="42" xfId="0" applyNumberFormat="1" applyBorder="1"/>
    <xf numFmtId="0" fontId="0" fillId="0" borderId="66" xfId="0" applyFill="1" applyBorder="1"/>
    <xf numFmtId="0" fontId="0" fillId="2" borderId="5" xfId="0" applyFill="1" applyBorder="1"/>
    <xf numFmtId="10" fontId="0" fillId="0" borderId="15" xfId="0" applyNumberFormat="1" applyFill="1" applyBorder="1" applyAlignment="1"/>
    <xf numFmtId="0" fontId="12" fillId="0" borderId="0" xfId="0" applyFont="1" applyBorder="1"/>
    <xf numFmtId="2" fontId="0" fillId="0" borderId="5" xfId="0" applyNumberFormat="1" applyFill="1" applyBorder="1"/>
    <xf numFmtId="0" fontId="0" fillId="6" borderId="5" xfId="0" applyFill="1" applyBorder="1"/>
    <xf numFmtId="0" fontId="0" fillId="6" borderId="9" xfId="0" applyFill="1" applyBorder="1"/>
    <xf numFmtId="0" fontId="0" fillId="6" borderId="7" xfId="0" applyFill="1" applyBorder="1"/>
    <xf numFmtId="10" fontId="0" fillId="6" borderId="15" xfId="0" applyNumberFormat="1" applyFill="1" applyBorder="1" applyAlignment="1"/>
    <xf numFmtId="0" fontId="0" fillId="6" borderId="16" xfId="0" applyFill="1" applyBorder="1"/>
    <xf numFmtId="10" fontId="0" fillId="0" borderId="67" xfId="2" applyNumberFormat="1" applyFont="1" applyFill="1" applyBorder="1"/>
    <xf numFmtId="14" fontId="0" fillId="0" borderId="0" xfId="0" applyNumberFormat="1"/>
    <xf numFmtId="16" fontId="0" fillId="4" borderId="5" xfId="0" applyNumberFormat="1" applyFill="1" applyBorder="1"/>
    <xf numFmtId="10" fontId="0" fillId="0" borderId="40" xfId="0" applyNumberFormat="1" applyFill="1" applyBorder="1" applyAlignment="1"/>
    <xf numFmtId="10" fontId="0" fillId="0" borderId="6" xfId="0" applyNumberFormat="1" applyFill="1" applyBorder="1" applyAlignment="1"/>
    <xf numFmtId="0" fontId="22" fillId="6" borderId="32" xfId="1" applyFont="1" applyFill="1" applyBorder="1" applyAlignment="1">
      <alignment horizontal="left" vertical="top" wrapText="1"/>
    </xf>
    <xf numFmtId="1" fontId="23" fillId="6" borderId="32" xfId="1" applyNumberFormat="1" applyFont="1" applyFill="1" applyBorder="1" applyAlignment="1">
      <alignment horizontal="center" vertical="top" wrapText="1"/>
    </xf>
    <xf numFmtId="2" fontId="23" fillId="6" borderId="32" xfId="1" applyNumberFormat="1" applyFont="1" applyFill="1" applyBorder="1" applyAlignment="1">
      <alignment horizontal="center" vertical="top" wrapText="1"/>
    </xf>
    <xf numFmtId="2" fontId="24" fillId="6" borderId="32" xfId="0" applyNumberFormat="1" applyFont="1" applyFill="1" applyBorder="1"/>
    <xf numFmtId="0" fontId="0" fillId="4" borderId="22" xfId="0" applyFill="1" applyBorder="1" applyAlignment="1">
      <alignment horizontal="center" vertical="center"/>
    </xf>
    <xf numFmtId="0" fontId="0" fillId="0" borderId="51" xfId="0" applyFill="1" applyBorder="1"/>
    <xf numFmtId="0" fontId="26" fillId="0" borderId="32" xfId="0" applyFont="1" applyBorder="1"/>
    <xf numFmtId="14" fontId="0" fillId="0" borderId="35" xfId="0" applyNumberFormat="1" applyBorder="1"/>
    <xf numFmtId="14" fontId="0" fillId="0" borderId="10" xfId="0" applyNumberFormat="1" applyBorder="1"/>
    <xf numFmtId="0" fontId="12" fillId="0" borderId="6" xfId="0" applyFont="1" applyBorder="1"/>
    <xf numFmtId="0" fontId="0" fillId="4" borderId="39" xfId="0" applyFill="1" applyBorder="1"/>
    <xf numFmtId="4" fontId="0" fillId="0" borderId="40" xfId="0" applyNumberFormat="1" applyFill="1" applyBorder="1"/>
    <xf numFmtId="0" fontId="0" fillId="0" borderId="60" xfId="0" applyBorder="1"/>
    <xf numFmtId="14" fontId="0" fillId="0" borderId="61" xfId="0" applyNumberFormat="1" applyBorder="1"/>
    <xf numFmtId="0" fontId="0" fillId="0" borderId="23" xfId="0" applyBorder="1"/>
    <xf numFmtId="0" fontId="0" fillId="4" borderId="24" xfId="0" applyFill="1" applyBorder="1"/>
    <xf numFmtId="0" fontId="0" fillId="4" borderId="33" xfId="0" applyFill="1" applyBorder="1"/>
    <xf numFmtId="0" fontId="0" fillId="4" borderId="52" xfId="0" applyFill="1" applyBorder="1"/>
    <xf numFmtId="0" fontId="0" fillId="4" borderId="25" xfId="0" applyFill="1" applyBorder="1"/>
    <xf numFmtId="0" fontId="27" fillId="0" borderId="54" xfId="0" applyFont="1" applyBorder="1"/>
    <xf numFmtId="0" fontId="0" fillId="0" borderId="37" xfId="0" applyFill="1" applyBorder="1"/>
    <xf numFmtId="0" fontId="24" fillId="4" borderId="1" xfId="0" applyFont="1" applyFill="1" applyBorder="1" applyAlignment="1">
      <alignment horizontal="center" vertical="center" wrapText="1"/>
    </xf>
    <xf numFmtId="2" fontId="0" fillId="0" borderId="62" xfId="0" applyNumberFormat="1" applyBorder="1"/>
    <xf numFmtId="2" fontId="0" fillId="0" borderId="42" xfId="0" applyNumberFormat="1" applyBorder="1"/>
    <xf numFmtId="0" fontId="22" fillId="5" borderId="33" xfId="1" applyFont="1" applyFill="1" applyBorder="1" applyAlignment="1">
      <alignment horizontal="left" vertical="top" wrapText="1"/>
    </xf>
    <xf numFmtId="1" fontId="23" fillId="5" borderId="33" xfId="1" applyNumberFormat="1" applyFont="1" applyFill="1" applyBorder="1" applyAlignment="1">
      <alignment horizontal="center" vertical="top" wrapText="1"/>
    </xf>
    <xf numFmtId="2" fontId="23" fillId="5" borderId="33" xfId="1" applyNumberFormat="1" applyFont="1" applyFill="1" applyBorder="1" applyAlignment="1">
      <alignment horizontal="center" vertical="top" wrapText="1"/>
    </xf>
    <xf numFmtId="0" fontId="24" fillId="5" borderId="33" xfId="0" applyFont="1" applyFill="1" applyBorder="1"/>
    <xf numFmtId="2" fontId="24" fillId="5" borderId="33" xfId="0" applyNumberFormat="1" applyFont="1" applyFill="1" applyBorder="1"/>
    <xf numFmtId="0" fontId="24" fillId="5" borderId="25" xfId="0" applyFont="1" applyFill="1" applyBorder="1"/>
    <xf numFmtId="0" fontId="24" fillId="5" borderId="27" xfId="0" applyFont="1" applyFill="1" applyBorder="1"/>
    <xf numFmtId="0" fontId="24" fillId="0" borderId="27" xfId="0" applyFont="1" applyBorder="1"/>
    <xf numFmtId="2" fontId="24" fillId="5" borderId="27" xfId="0" applyNumberFormat="1" applyFont="1" applyFill="1" applyBorder="1"/>
    <xf numFmtId="0" fontId="24" fillId="6" borderId="27" xfId="0" applyFont="1" applyFill="1" applyBorder="1"/>
    <xf numFmtId="0" fontId="22" fillId="0" borderId="34" xfId="1" applyFont="1" applyFill="1" applyBorder="1" applyAlignment="1">
      <alignment horizontal="left" vertical="top" wrapText="1"/>
    </xf>
    <xf numFmtId="0" fontId="24" fillId="0" borderId="34" xfId="0" applyFont="1" applyBorder="1"/>
    <xf numFmtId="2" fontId="24" fillId="0" borderId="34" xfId="0" applyNumberFormat="1" applyFont="1" applyBorder="1"/>
    <xf numFmtId="2" fontId="24" fillId="0" borderId="29" xfId="0" applyNumberFormat="1" applyFont="1" applyBorder="1"/>
    <xf numFmtId="0" fontId="0" fillId="4" borderId="38" xfId="0" applyFill="1" applyBorder="1"/>
    <xf numFmtId="14" fontId="0" fillId="4" borderId="23" xfId="0" applyNumberFormat="1" applyFill="1" applyBorder="1"/>
    <xf numFmtId="10" fontId="0" fillId="4" borderId="21" xfId="0" applyNumberFormat="1" applyFill="1" applyBorder="1"/>
    <xf numFmtId="0" fontId="0" fillId="4" borderId="23" xfId="0" applyFill="1" applyBorder="1"/>
    <xf numFmtId="0" fontId="0" fillId="4" borderId="22" xfId="0" applyFill="1" applyBorder="1"/>
    <xf numFmtId="4" fontId="0" fillId="4" borderId="22" xfId="0" applyNumberFormat="1" applyFill="1" applyBorder="1"/>
    <xf numFmtId="4" fontId="0" fillId="4" borderId="21" xfId="0" applyNumberFormat="1" applyFill="1" applyBorder="1"/>
    <xf numFmtId="14" fontId="0" fillId="4" borderId="22" xfId="0" applyNumberFormat="1" applyFill="1" applyBorder="1"/>
    <xf numFmtId="14" fontId="0" fillId="4" borderId="24" xfId="0" applyNumberFormat="1" applyFill="1" applyBorder="1"/>
    <xf numFmtId="2" fontId="0" fillId="4" borderId="33" xfId="0" applyNumberFormat="1" applyFill="1" applyBorder="1"/>
    <xf numFmtId="2" fontId="0" fillId="4" borderId="52" xfId="0" applyNumberFormat="1" applyFill="1" applyBorder="1"/>
    <xf numFmtId="14" fontId="0" fillId="4" borderId="25" xfId="0" applyNumberFormat="1" applyFill="1" applyBorder="1"/>
    <xf numFmtId="4" fontId="0" fillId="0" borderId="0" xfId="0" applyNumberFormat="1" applyBorder="1"/>
    <xf numFmtId="0" fontId="0" fillId="0" borderId="47" xfId="0" applyBorder="1"/>
    <xf numFmtId="0" fontId="0" fillId="0" borderId="39" xfId="0" applyBorder="1"/>
    <xf numFmtId="0" fontId="0" fillId="0" borderId="38" xfId="0" applyBorder="1"/>
    <xf numFmtId="16" fontId="0" fillId="4" borderId="6" xfId="0" applyNumberFormat="1" applyFill="1" applyBorder="1"/>
    <xf numFmtId="10" fontId="0" fillId="4" borderId="67" xfId="2" applyNumberFormat="1" applyFont="1" applyFill="1" applyBorder="1"/>
    <xf numFmtId="4" fontId="0" fillId="4" borderId="6" xfId="0" applyNumberFormat="1" applyFill="1" applyBorder="1"/>
    <xf numFmtId="4" fontId="0" fillId="4" borderId="39" xfId="0" applyNumberFormat="1" applyFill="1" applyBorder="1"/>
    <xf numFmtId="14" fontId="0" fillId="0" borderId="40" xfId="0" applyNumberFormat="1" applyBorder="1"/>
    <xf numFmtId="4" fontId="0" fillId="0" borderId="5" xfId="0" applyNumberFormat="1" applyBorder="1"/>
    <xf numFmtId="0" fontId="2" fillId="0" borderId="16" xfId="0" applyFont="1" applyFill="1" applyBorder="1"/>
    <xf numFmtId="0" fontId="2" fillId="0" borderId="7" xfId="0" applyFont="1" applyFill="1" applyBorder="1"/>
    <xf numFmtId="0" fontId="2" fillId="0" borderId="5" xfId="0" applyFont="1" applyFill="1" applyBorder="1"/>
    <xf numFmtId="14" fontId="2" fillId="0" borderId="9" xfId="0" applyNumberFormat="1" applyFont="1" applyFill="1" applyBorder="1"/>
    <xf numFmtId="0" fontId="12" fillId="0" borderId="40" xfId="0" applyFont="1" applyBorder="1" applyAlignment="1">
      <alignment wrapText="1"/>
    </xf>
    <xf numFmtId="14" fontId="0" fillId="0" borderId="21" xfId="0" applyNumberFormat="1" applyFill="1" applyBorder="1"/>
    <xf numFmtId="14" fontId="0" fillId="0" borderId="40" xfId="0" applyNumberFormat="1" applyFill="1" applyBorder="1"/>
    <xf numFmtId="14" fontId="0" fillId="0" borderId="12" xfId="0" applyNumberFormat="1" applyBorder="1"/>
    <xf numFmtId="14" fontId="0" fillId="0" borderId="23" xfId="0" applyNumberFormat="1" applyBorder="1"/>
    <xf numFmtId="0" fontId="0" fillId="0" borderId="50" xfId="0" applyFill="1" applyBorder="1"/>
    <xf numFmtId="4" fontId="2" fillId="0" borderId="21" xfId="0" applyNumberFormat="1" applyFont="1" applyBorder="1"/>
    <xf numFmtId="4" fontId="2" fillId="0" borderId="5" xfId="0" applyNumberFormat="1" applyFont="1" applyBorder="1"/>
    <xf numFmtId="4" fontId="0" fillId="0" borderId="21" xfId="0" applyNumberFormat="1" applyFont="1" applyFill="1" applyBorder="1"/>
    <xf numFmtId="4" fontId="0" fillId="0" borderId="5" xfId="0" applyNumberFormat="1" applyFont="1" applyFill="1" applyBorder="1"/>
    <xf numFmtId="4" fontId="0" fillId="0" borderId="5" xfId="0" applyNumberFormat="1" applyFont="1" applyBorder="1"/>
    <xf numFmtId="4" fontId="2" fillId="0" borderId="5" xfId="0" applyNumberFormat="1" applyFont="1" applyFill="1" applyBorder="1"/>
    <xf numFmtId="4" fontId="2" fillId="0" borderId="12" xfId="0" applyNumberFormat="1" applyFont="1" applyFill="1" applyBorder="1"/>
    <xf numFmtId="4" fontId="2" fillId="0" borderId="40" xfId="0" applyNumberFormat="1" applyFont="1" applyFill="1" applyBorder="1"/>
    <xf numFmtId="0" fontId="0" fillId="0" borderId="5" xfId="0" applyFont="1" applyFill="1" applyBorder="1"/>
    <xf numFmtId="0" fontId="0" fillId="0" borderId="40" xfId="0" applyFont="1" applyFill="1" applyBorder="1"/>
    <xf numFmtId="0" fontId="0" fillId="0" borderId="6" xfId="0" applyFont="1" applyFill="1" applyBorder="1"/>
    <xf numFmtId="4" fontId="2" fillId="0" borderId="12" xfId="0" applyNumberFormat="1" applyFont="1" applyBorder="1"/>
    <xf numFmtId="14" fontId="0" fillId="6" borderId="5" xfId="0" applyNumberFormat="1" applyFill="1" applyBorder="1"/>
    <xf numFmtId="0" fontId="0" fillId="6" borderId="22" xfId="0" applyFill="1" applyBorder="1"/>
    <xf numFmtId="0" fontId="0" fillId="6" borderId="13" xfId="0" applyFill="1" applyBorder="1"/>
    <xf numFmtId="2" fontId="0" fillId="6" borderId="5" xfId="0" applyNumberFormat="1" applyFill="1" applyBorder="1"/>
    <xf numFmtId="14" fontId="0" fillId="6" borderId="9" xfId="0" applyNumberFormat="1" applyFill="1" applyBorder="1"/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2" fillId="2" borderId="5" xfId="0" applyFont="1" applyFill="1" applyBorder="1"/>
    <xf numFmtId="14" fontId="0" fillId="2" borderId="9" xfId="0" applyNumberFormat="1" applyFill="1" applyBorder="1"/>
    <xf numFmtId="14" fontId="0" fillId="2" borderId="7" xfId="0" applyNumberFormat="1" applyFill="1" applyBorder="1"/>
    <xf numFmtId="0" fontId="0" fillId="2" borderId="31" xfId="0" applyFill="1" applyBorder="1"/>
    <xf numFmtId="0" fontId="0" fillId="7" borderId="5" xfId="0" applyFill="1" applyBorder="1"/>
  </cellXfs>
  <cellStyles count="4">
    <cellStyle name="Įprastas" xfId="0" builtinId="0"/>
    <cellStyle name="Įprastas 2" xfId="1"/>
    <cellStyle name="Kablelis 2" xfId="3"/>
    <cellStyle name="Procenta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83"/>
  <sheetViews>
    <sheetView tabSelected="1" zoomScale="85" zoomScaleNormal="85" workbookViewId="0">
      <pane xSplit="1" ySplit="2" topLeftCell="B105" activePane="bottomRight" state="frozen"/>
      <selection pane="topRight" activeCell="B1" sqref="B1"/>
      <selection pane="bottomLeft" activeCell="A3" sqref="A3"/>
      <selection pane="bottomRight" activeCell="N128" sqref="N128"/>
    </sheetView>
  </sheetViews>
  <sheetFormatPr defaultColWidth="9" defaultRowHeight="15" x14ac:dyDescent="0.25"/>
  <cols>
    <col min="1" max="1" width="4.42578125" style="2" customWidth="1"/>
    <col min="2" max="2" width="23.42578125" style="2" customWidth="1"/>
    <col min="3" max="3" width="8.140625" style="2" customWidth="1"/>
    <col min="4" max="4" width="9.140625" style="2" customWidth="1"/>
    <col min="5" max="5" width="9.5703125" style="2" customWidth="1"/>
    <col min="6" max="6" width="10.85546875" style="2" customWidth="1"/>
    <col min="7" max="7" width="10.5703125" style="2" customWidth="1"/>
    <col min="8" max="8" width="7.28515625" style="2" customWidth="1"/>
    <col min="9" max="9" width="23" style="2" customWidth="1"/>
    <col min="10" max="10" width="12.28515625" style="2" customWidth="1"/>
    <col min="11" max="11" width="12" style="2" customWidth="1"/>
    <col min="12" max="12" width="11.42578125" style="2" customWidth="1"/>
    <col min="13" max="13" width="11" style="2" customWidth="1"/>
    <col min="14" max="14" width="10" style="2" customWidth="1"/>
    <col min="15" max="15" width="9" style="2" customWidth="1"/>
    <col min="16" max="16" width="11" style="2" customWidth="1"/>
    <col min="17" max="17" width="9.42578125" style="2" customWidth="1"/>
    <col min="18" max="18" width="9" style="2" customWidth="1"/>
    <col min="19" max="19" width="11.85546875" style="2" customWidth="1"/>
    <col min="20" max="20" width="10.28515625" style="2" bestFit="1" customWidth="1"/>
    <col min="21" max="16384" width="9" style="2"/>
  </cols>
  <sheetData>
    <row r="1" spans="1:19" ht="16.5" hidden="1" thickBot="1" x14ac:dyDescent="0.3">
      <c r="A1" s="488" t="s">
        <v>231</v>
      </c>
      <c r="B1" s="488"/>
    </row>
    <row r="2" spans="1:19" ht="45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422" t="s">
        <v>389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1124</v>
      </c>
    </row>
    <row r="3" spans="1:19" x14ac:dyDescent="0.25">
      <c r="A3" s="405">
        <v>1</v>
      </c>
      <c r="B3" s="41" t="s">
        <v>25</v>
      </c>
      <c r="C3" s="41">
        <v>18</v>
      </c>
      <c r="D3" s="439">
        <v>2</v>
      </c>
      <c r="E3" s="41" t="s">
        <v>143</v>
      </c>
      <c r="F3" s="440">
        <v>41596</v>
      </c>
      <c r="G3" s="441">
        <f>11/18</f>
        <v>0.61111111111111116</v>
      </c>
      <c r="H3" s="442" t="s">
        <v>68</v>
      </c>
      <c r="I3" s="443" t="s">
        <v>174</v>
      </c>
      <c r="J3" s="444">
        <v>669730.91494399996</v>
      </c>
      <c r="K3" s="445">
        <f>J3/3.4528</f>
        <v>193967.47999999998</v>
      </c>
      <c r="L3" s="440">
        <v>42053</v>
      </c>
      <c r="M3" s="446">
        <v>42563</v>
      </c>
      <c r="N3" s="41" t="s">
        <v>68</v>
      </c>
      <c r="O3" s="443" t="s">
        <v>111</v>
      </c>
      <c r="P3" s="447">
        <v>41607</v>
      </c>
      <c r="Q3" s="448">
        <v>1748</v>
      </c>
      <c r="R3" s="449"/>
      <c r="S3" s="450">
        <v>41722</v>
      </c>
    </row>
    <row r="4" spans="1:19" x14ac:dyDescent="0.25">
      <c r="A4" s="22">
        <v>2</v>
      </c>
      <c r="B4" s="42" t="s">
        <v>26</v>
      </c>
      <c r="C4" s="42">
        <v>36</v>
      </c>
      <c r="D4" s="281">
        <v>1</v>
      </c>
      <c r="E4" s="42" t="s">
        <v>119</v>
      </c>
      <c r="F4" s="297">
        <v>41613</v>
      </c>
      <c r="G4" s="298">
        <f>24/36</f>
        <v>0.66666666666666663</v>
      </c>
      <c r="H4" s="280" t="s">
        <v>68</v>
      </c>
      <c r="I4" s="279" t="s">
        <v>78</v>
      </c>
      <c r="J4" s="338">
        <v>1266011.1200000001</v>
      </c>
      <c r="K4" s="299">
        <f>J4/3.4528</f>
        <v>366662.16404077853</v>
      </c>
      <c r="L4" s="297">
        <v>41726</v>
      </c>
      <c r="M4" s="300">
        <v>42318</v>
      </c>
      <c r="N4" s="42" t="s">
        <v>68</v>
      </c>
      <c r="O4" s="279" t="s">
        <v>111</v>
      </c>
      <c r="P4" s="301">
        <v>41607</v>
      </c>
      <c r="Q4" s="302">
        <v>1748</v>
      </c>
      <c r="R4" s="303"/>
      <c r="S4" s="304">
        <v>41722</v>
      </c>
    </row>
    <row r="5" spans="1:19" x14ac:dyDescent="0.25">
      <c r="A5" s="22">
        <v>3</v>
      </c>
      <c r="B5" s="42" t="s">
        <v>27</v>
      </c>
      <c r="C5" s="42">
        <v>72</v>
      </c>
      <c r="D5" s="281">
        <v>2</v>
      </c>
      <c r="E5" s="307" t="s">
        <v>101</v>
      </c>
      <c r="F5" s="297">
        <v>41611</v>
      </c>
      <c r="G5" s="298">
        <f>44/72</f>
        <v>0.61111111111111116</v>
      </c>
      <c r="H5" s="280" t="s">
        <v>68</v>
      </c>
      <c r="I5" s="279" t="s">
        <v>228</v>
      </c>
      <c r="J5" s="338">
        <v>1337000.01</v>
      </c>
      <c r="K5" s="299">
        <f>J5/3.4528</f>
        <v>387221.96767840593</v>
      </c>
      <c r="L5" s="297">
        <v>41773</v>
      </c>
      <c r="M5" s="300">
        <v>42321</v>
      </c>
      <c r="N5" s="42" t="s">
        <v>68</v>
      </c>
      <c r="O5" s="279" t="s">
        <v>167</v>
      </c>
      <c r="P5" s="305">
        <v>41827</v>
      </c>
      <c r="Q5" s="292">
        <v>1723.35</v>
      </c>
      <c r="R5" s="306"/>
      <c r="S5" s="304">
        <v>41851</v>
      </c>
    </row>
    <row r="6" spans="1:19" x14ac:dyDescent="0.25">
      <c r="A6" s="22">
        <v>4</v>
      </c>
      <c r="B6" s="73" t="s">
        <v>28</v>
      </c>
      <c r="C6" s="73">
        <v>22</v>
      </c>
      <c r="D6" s="89">
        <v>0</v>
      </c>
      <c r="E6" s="73" t="s">
        <v>154</v>
      </c>
      <c r="F6" s="130">
        <v>42611</v>
      </c>
      <c r="G6" s="145">
        <f>14/C6</f>
        <v>0.63636363636363635</v>
      </c>
      <c r="H6" s="74" t="s">
        <v>68</v>
      </c>
      <c r="I6" s="146" t="s">
        <v>228</v>
      </c>
      <c r="J6" s="167">
        <f>K6*3.4528</f>
        <v>927746.1943359999</v>
      </c>
      <c r="K6" s="147">
        <v>268693.87</v>
      </c>
      <c r="L6" s="130">
        <v>42718</v>
      </c>
      <c r="M6" s="75">
        <v>43063</v>
      </c>
      <c r="N6" s="387" t="s">
        <v>68</v>
      </c>
      <c r="O6" s="146" t="s">
        <v>111</v>
      </c>
      <c r="P6" s="151">
        <v>41607</v>
      </c>
      <c r="Q6" s="152">
        <v>1748</v>
      </c>
      <c r="R6" s="153"/>
      <c r="S6" s="150">
        <v>41722</v>
      </c>
    </row>
    <row r="7" spans="1:19" x14ac:dyDescent="0.25">
      <c r="A7" s="22">
        <v>5</v>
      </c>
      <c r="B7" s="495" t="s">
        <v>485</v>
      </c>
      <c r="C7" s="73">
        <v>20</v>
      </c>
      <c r="D7" s="89">
        <v>0</v>
      </c>
      <c r="E7" s="73" t="s">
        <v>150</v>
      </c>
      <c r="F7" s="130">
        <v>41617</v>
      </c>
      <c r="G7" s="145">
        <f>12/20</f>
        <v>0.6</v>
      </c>
      <c r="H7" s="74" t="s">
        <v>68</v>
      </c>
      <c r="I7" s="146" t="s">
        <v>241</v>
      </c>
      <c r="J7" s="167">
        <f>K7*3.4528</f>
        <v>990548.82825600007</v>
      </c>
      <c r="K7" s="147">
        <v>286882.77</v>
      </c>
      <c r="L7" s="74">
        <v>2015</v>
      </c>
      <c r="M7" s="75">
        <v>42663</v>
      </c>
      <c r="N7" s="73" t="s">
        <v>68</v>
      </c>
      <c r="O7" s="146" t="s">
        <v>111</v>
      </c>
      <c r="P7" s="151">
        <v>41607</v>
      </c>
      <c r="Q7" s="152">
        <v>1748</v>
      </c>
      <c r="R7" s="153"/>
      <c r="S7" s="150">
        <v>41722</v>
      </c>
    </row>
    <row r="8" spans="1:19" x14ac:dyDescent="0.25">
      <c r="A8" s="22">
        <v>6</v>
      </c>
      <c r="B8" s="42" t="s">
        <v>29</v>
      </c>
      <c r="C8" s="42">
        <v>72</v>
      </c>
      <c r="D8" s="281">
        <v>6</v>
      </c>
      <c r="E8" s="42" t="s">
        <v>135</v>
      </c>
      <c r="F8" s="297">
        <v>41598</v>
      </c>
      <c r="G8" s="298">
        <f>40/72</f>
        <v>0.55555555555555558</v>
      </c>
      <c r="H8" s="280" t="s">
        <v>68</v>
      </c>
      <c r="I8" s="279" t="s">
        <v>78</v>
      </c>
      <c r="J8" s="299">
        <v>1108711.4099999999</v>
      </c>
      <c r="K8" s="299">
        <f>J8/3.4528</f>
        <v>321105.01911492122</v>
      </c>
      <c r="L8" s="297">
        <v>41711</v>
      </c>
      <c r="M8" s="300">
        <v>42166</v>
      </c>
      <c r="N8" s="341" t="s">
        <v>68</v>
      </c>
      <c r="O8" s="279" t="s">
        <v>111</v>
      </c>
      <c r="P8" s="301">
        <v>41607</v>
      </c>
      <c r="Q8" s="302">
        <f>1748-21.88</f>
        <v>1726.12</v>
      </c>
      <c r="R8" s="303"/>
      <c r="S8" s="304">
        <v>41722</v>
      </c>
    </row>
    <row r="9" spans="1:19" x14ac:dyDescent="0.25">
      <c r="A9" s="22">
        <v>7</v>
      </c>
      <c r="B9" s="73" t="s">
        <v>30</v>
      </c>
      <c r="C9" s="73">
        <v>65</v>
      </c>
      <c r="D9" s="89">
        <v>1</v>
      </c>
      <c r="E9" s="73" t="s">
        <v>140</v>
      </c>
      <c r="F9" s="130">
        <v>41597</v>
      </c>
      <c r="G9" s="145">
        <f>37/65</f>
        <v>0.56923076923076921</v>
      </c>
      <c r="H9" s="392" t="s">
        <v>68</v>
      </c>
      <c r="I9" s="393" t="s">
        <v>224</v>
      </c>
      <c r="J9" s="393"/>
      <c r="K9" s="486">
        <v>334154.81</v>
      </c>
      <c r="L9" s="487">
        <v>43108</v>
      </c>
      <c r="M9" s="393"/>
      <c r="N9" s="391"/>
      <c r="O9" s="146" t="s">
        <v>167</v>
      </c>
      <c r="P9" s="148">
        <v>41877</v>
      </c>
      <c r="Q9" s="149">
        <v>1726.12</v>
      </c>
      <c r="R9" s="112"/>
      <c r="S9" s="150">
        <v>41914</v>
      </c>
    </row>
    <row r="10" spans="1:19" x14ac:dyDescent="0.25">
      <c r="A10" s="22">
        <v>8</v>
      </c>
      <c r="B10" s="73" t="s">
        <v>31</v>
      </c>
      <c r="C10" s="73">
        <v>44</v>
      </c>
      <c r="D10" s="89">
        <v>2</v>
      </c>
      <c r="E10" s="73" t="s">
        <v>118</v>
      </c>
      <c r="F10" s="130">
        <v>41592</v>
      </c>
      <c r="G10" s="145">
        <f>29/44</f>
        <v>0.65909090909090906</v>
      </c>
      <c r="H10" s="74" t="s">
        <v>68</v>
      </c>
      <c r="I10" s="146" t="s">
        <v>1123</v>
      </c>
      <c r="J10" s="167">
        <v>1456837.58</v>
      </c>
      <c r="K10" s="147">
        <f>J10/3.4528</f>
        <v>421929.32692307694</v>
      </c>
      <c r="L10" s="130">
        <v>41691</v>
      </c>
      <c r="M10" s="75">
        <v>42710</v>
      </c>
      <c r="N10" s="73" t="s">
        <v>68</v>
      </c>
      <c r="O10" s="146" t="s">
        <v>111</v>
      </c>
      <c r="P10" s="151">
        <v>41607</v>
      </c>
      <c r="Q10" s="152">
        <v>1748</v>
      </c>
      <c r="R10" s="153"/>
      <c r="S10" s="150">
        <v>41722</v>
      </c>
    </row>
    <row r="11" spans="1:19" x14ac:dyDescent="0.25">
      <c r="A11" s="22">
        <v>9</v>
      </c>
      <c r="B11" s="73" t="s">
        <v>32</v>
      </c>
      <c r="C11" s="73">
        <v>38</v>
      </c>
      <c r="D11" s="89">
        <v>18</v>
      </c>
      <c r="E11" s="73" t="s">
        <v>145</v>
      </c>
      <c r="F11" s="130">
        <v>42436</v>
      </c>
      <c r="G11" s="145">
        <f>24/38</f>
        <v>0.63157894736842102</v>
      </c>
      <c r="H11" s="28" t="s">
        <v>75</v>
      </c>
      <c r="I11" s="15"/>
      <c r="J11" s="15"/>
      <c r="K11" s="63"/>
      <c r="L11" s="28"/>
      <c r="M11" s="15"/>
      <c r="N11" s="63"/>
      <c r="O11" s="146" t="s">
        <v>167</v>
      </c>
      <c r="P11" s="148">
        <v>41877</v>
      </c>
      <c r="Q11" s="149">
        <v>1716.42</v>
      </c>
      <c r="R11" s="112"/>
      <c r="S11" s="150">
        <v>41914</v>
      </c>
    </row>
    <row r="12" spans="1:19" ht="15" customHeight="1" x14ac:dyDescent="0.25">
      <c r="A12" s="22">
        <v>10</v>
      </c>
      <c r="B12" s="73" t="s">
        <v>37</v>
      </c>
      <c r="C12" s="73">
        <v>65</v>
      </c>
      <c r="D12" s="89">
        <v>2</v>
      </c>
      <c r="E12" s="73" t="s">
        <v>129</v>
      </c>
      <c r="F12" s="130">
        <v>42585</v>
      </c>
      <c r="G12" s="388">
        <f>41/C12</f>
        <v>0.63076923076923075</v>
      </c>
      <c r="H12" s="74" t="s">
        <v>68</v>
      </c>
      <c r="I12" s="146" t="s">
        <v>78</v>
      </c>
      <c r="J12" s="167">
        <f>K12*3.4528</f>
        <v>1094483.8399039998</v>
      </c>
      <c r="K12" s="147">
        <v>316984.43</v>
      </c>
      <c r="L12" s="130">
        <v>42692</v>
      </c>
      <c r="M12" s="75">
        <v>43098</v>
      </c>
      <c r="N12" s="387" t="s">
        <v>68</v>
      </c>
      <c r="O12" s="146" t="s">
        <v>167</v>
      </c>
      <c r="P12" s="148">
        <v>42678</v>
      </c>
      <c r="Q12" s="149">
        <f>R12*3.4528</f>
        <v>1723.327008</v>
      </c>
      <c r="R12" s="112">
        <v>499.11</v>
      </c>
      <c r="S12" s="150">
        <v>42725</v>
      </c>
    </row>
    <row r="13" spans="1:19" x14ac:dyDescent="0.25">
      <c r="A13" s="22">
        <v>11</v>
      </c>
      <c r="B13" s="42" t="s">
        <v>35</v>
      </c>
      <c r="C13" s="42">
        <v>40</v>
      </c>
      <c r="D13" s="281">
        <v>1</v>
      </c>
      <c r="E13" s="44" t="s">
        <v>100</v>
      </c>
      <c r="F13" s="297">
        <v>41604</v>
      </c>
      <c r="G13" s="298">
        <f>23/40</f>
        <v>0.57499999999999996</v>
      </c>
      <c r="H13" s="280" t="s">
        <v>68</v>
      </c>
      <c r="I13" s="279" t="s">
        <v>97</v>
      </c>
      <c r="J13" s="299">
        <v>977725.98</v>
      </c>
      <c r="K13" s="299">
        <f t="shared" ref="K13:K19" si="0">J13/3.4528</f>
        <v>283169.01645041705</v>
      </c>
      <c r="L13" s="297">
        <v>41724</v>
      </c>
      <c r="M13" s="300">
        <v>42173</v>
      </c>
      <c r="N13" s="341" t="s">
        <v>68</v>
      </c>
      <c r="O13" s="279" t="s">
        <v>167</v>
      </c>
      <c r="P13" s="305">
        <v>41795</v>
      </c>
      <c r="Q13" s="292">
        <v>1723.35</v>
      </c>
      <c r="R13" s="306"/>
      <c r="S13" s="304">
        <v>41837</v>
      </c>
    </row>
    <row r="14" spans="1:19" x14ac:dyDescent="0.25">
      <c r="A14" s="22">
        <v>12</v>
      </c>
      <c r="B14" s="73" t="s">
        <v>36</v>
      </c>
      <c r="C14" s="73">
        <v>30</v>
      </c>
      <c r="D14" s="89">
        <v>1</v>
      </c>
      <c r="E14" s="73" t="s">
        <v>152</v>
      </c>
      <c r="F14" s="130">
        <v>41603</v>
      </c>
      <c r="G14" s="145">
        <f>21/30</f>
        <v>0.7</v>
      </c>
      <c r="H14" s="74" t="s">
        <v>68</v>
      </c>
      <c r="I14" s="73" t="s">
        <v>1135</v>
      </c>
      <c r="J14" s="167">
        <v>1025384.25</v>
      </c>
      <c r="K14" s="147">
        <f t="shared" si="0"/>
        <v>296971.80549119558</v>
      </c>
      <c r="L14" s="130">
        <v>41739</v>
      </c>
      <c r="M14" s="75">
        <v>42706</v>
      </c>
      <c r="N14" s="73" t="s">
        <v>68</v>
      </c>
      <c r="O14" s="146" t="s">
        <v>111</v>
      </c>
      <c r="P14" s="151">
        <v>41607</v>
      </c>
      <c r="Q14" s="152">
        <v>1748</v>
      </c>
      <c r="R14" s="153"/>
      <c r="S14" s="150">
        <v>41722</v>
      </c>
    </row>
    <row r="15" spans="1:19" x14ac:dyDescent="0.25">
      <c r="A15" s="22">
        <v>13</v>
      </c>
      <c r="B15" s="42" t="s">
        <v>38</v>
      </c>
      <c r="C15" s="42">
        <v>100</v>
      </c>
      <c r="D15" s="281">
        <v>9</v>
      </c>
      <c r="E15" s="42" t="s">
        <v>123</v>
      </c>
      <c r="F15" s="297">
        <v>41592</v>
      </c>
      <c r="G15" s="298">
        <f>58/100</f>
        <v>0.57999999999999996</v>
      </c>
      <c r="H15" s="280" t="s">
        <v>68</v>
      </c>
      <c r="I15" s="279" t="s">
        <v>228</v>
      </c>
      <c r="J15" s="338">
        <v>1277700.8799999999</v>
      </c>
      <c r="K15" s="299">
        <f t="shared" si="0"/>
        <v>370047.75254865614</v>
      </c>
      <c r="L15" s="297">
        <v>41694</v>
      </c>
      <c r="M15" s="300">
        <v>42347</v>
      </c>
      <c r="N15" s="42" t="s">
        <v>68</v>
      </c>
      <c r="O15" s="279" t="s">
        <v>111</v>
      </c>
      <c r="P15" s="301">
        <v>41607</v>
      </c>
      <c r="Q15" s="302">
        <v>1748</v>
      </c>
      <c r="R15" s="303"/>
      <c r="S15" s="304">
        <v>41722</v>
      </c>
    </row>
    <row r="16" spans="1:19" x14ac:dyDescent="0.25">
      <c r="A16" s="22">
        <v>14</v>
      </c>
      <c r="B16" s="42" t="s">
        <v>34</v>
      </c>
      <c r="C16" s="42">
        <v>30</v>
      </c>
      <c r="D16" s="281">
        <v>1</v>
      </c>
      <c r="E16" s="42" t="s">
        <v>107</v>
      </c>
      <c r="F16" s="297">
        <v>41605</v>
      </c>
      <c r="G16" s="298">
        <f>18/29</f>
        <v>0.62068965517241381</v>
      </c>
      <c r="H16" s="280" t="s">
        <v>68</v>
      </c>
      <c r="I16" s="279" t="s">
        <v>78</v>
      </c>
      <c r="J16" s="338">
        <v>774111.15</v>
      </c>
      <c r="K16" s="359">
        <f t="shared" si="0"/>
        <v>224198.0856116775</v>
      </c>
      <c r="L16" s="297">
        <v>41726</v>
      </c>
      <c r="M16" s="300">
        <v>42324</v>
      </c>
      <c r="N16" s="42" t="s">
        <v>68</v>
      </c>
      <c r="O16" s="279" t="s">
        <v>167</v>
      </c>
      <c r="P16" s="305">
        <v>41808</v>
      </c>
      <c r="Q16" s="292">
        <v>1723.35</v>
      </c>
      <c r="R16" s="306"/>
      <c r="S16" s="304">
        <v>41919</v>
      </c>
    </row>
    <row r="17" spans="1:19" x14ac:dyDescent="0.25">
      <c r="A17" s="22">
        <v>15</v>
      </c>
      <c r="B17" s="42" t="s">
        <v>40</v>
      </c>
      <c r="C17" s="42">
        <v>22</v>
      </c>
      <c r="D17" s="281">
        <v>22</v>
      </c>
      <c r="E17" s="42" t="s">
        <v>144</v>
      </c>
      <c r="F17" s="297">
        <v>41617</v>
      </c>
      <c r="G17" s="298">
        <f>22/22</f>
        <v>1</v>
      </c>
      <c r="H17" s="280" t="s">
        <v>68</v>
      </c>
      <c r="I17" s="279" t="s">
        <v>98</v>
      </c>
      <c r="J17" s="338">
        <v>786639.44</v>
      </c>
      <c r="K17" s="299">
        <f t="shared" si="0"/>
        <v>227826.52919369785</v>
      </c>
      <c r="L17" s="297">
        <v>41774</v>
      </c>
      <c r="M17" s="300">
        <v>42356</v>
      </c>
      <c r="N17" s="42" t="s">
        <v>68</v>
      </c>
      <c r="O17" s="279" t="s">
        <v>167</v>
      </c>
      <c r="P17" s="305">
        <v>41843</v>
      </c>
      <c r="Q17" s="292">
        <v>1716.42</v>
      </c>
      <c r="R17" s="306"/>
      <c r="S17" s="304">
        <v>41914</v>
      </c>
    </row>
    <row r="18" spans="1:19" x14ac:dyDescent="0.25">
      <c r="A18" s="22">
        <v>16</v>
      </c>
      <c r="B18" s="42" t="s">
        <v>41</v>
      </c>
      <c r="C18" s="42">
        <v>44</v>
      </c>
      <c r="D18" s="281">
        <v>1</v>
      </c>
      <c r="E18" s="42" t="s">
        <v>139</v>
      </c>
      <c r="F18" s="297">
        <v>41592</v>
      </c>
      <c r="G18" s="298">
        <f>27/44</f>
        <v>0.61363636363636365</v>
      </c>
      <c r="H18" s="280" t="s">
        <v>68</v>
      </c>
      <c r="I18" s="279" t="s">
        <v>228</v>
      </c>
      <c r="J18" s="299">
        <v>1206124.22</v>
      </c>
      <c r="K18" s="299">
        <f t="shared" si="0"/>
        <v>349317.71895273402</v>
      </c>
      <c r="L18" s="297">
        <v>41694</v>
      </c>
      <c r="M18" s="300">
        <v>42135</v>
      </c>
      <c r="N18" s="341" t="s">
        <v>68</v>
      </c>
      <c r="O18" s="279" t="s">
        <v>111</v>
      </c>
      <c r="P18" s="301">
        <v>41607</v>
      </c>
      <c r="Q18" s="302">
        <f>1748-21.88</f>
        <v>1726.12</v>
      </c>
      <c r="R18" s="303"/>
      <c r="S18" s="304">
        <v>41722</v>
      </c>
    </row>
    <row r="19" spans="1:19" x14ac:dyDescent="0.25">
      <c r="A19" s="22">
        <v>17</v>
      </c>
      <c r="B19" s="42" t="s">
        <v>42</v>
      </c>
      <c r="C19" s="42">
        <v>25</v>
      </c>
      <c r="D19" s="281">
        <v>1</v>
      </c>
      <c r="E19" s="42" t="s">
        <v>131</v>
      </c>
      <c r="F19" s="297">
        <v>41598</v>
      </c>
      <c r="G19" s="298">
        <f>16/25</f>
        <v>0.64</v>
      </c>
      <c r="H19" s="280" t="s">
        <v>68</v>
      </c>
      <c r="I19" s="42" t="s">
        <v>227</v>
      </c>
      <c r="J19" s="338">
        <v>747113.05</v>
      </c>
      <c r="K19" s="299">
        <f t="shared" si="0"/>
        <v>216378.89538924932</v>
      </c>
      <c r="L19" s="297">
        <v>41753</v>
      </c>
      <c r="M19" s="300">
        <v>42668</v>
      </c>
      <c r="N19" s="341" t="s">
        <v>68</v>
      </c>
      <c r="O19" s="279" t="s">
        <v>77</v>
      </c>
      <c r="P19" s="137"/>
      <c r="Q19" s="127"/>
      <c r="R19" s="138"/>
      <c r="S19" s="139"/>
    </row>
    <row r="20" spans="1:19" x14ac:dyDescent="0.25">
      <c r="A20" s="22">
        <v>18</v>
      </c>
      <c r="B20" s="73" t="s">
        <v>43</v>
      </c>
      <c r="C20" s="73">
        <v>60</v>
      </c>
      <c r="D20" s="89">
        <v>3</v>
      </c>
      <c r="E20" s="73" t="s">
        <v>112</v>
      </c>
      <c r="F20" s="130">
        <v>42534</v>
      </c>
      <c r="G20" s="145">
        <f>41/60</f>
        <v>0.68333333333333335</v>
      </c>
      <c r="H20" s="74" t="s">
        <v>68</v>
      </c>
      <c r="I20" s="73" t="s">
        <v>1134</v>
      </c>
      <c r="J20" s="167">
        <f>K20*3.4528</f>
        <v>1083582.3489920001</v>
      </c>
      <c r="K20" s="147">
        <v>313827.14</v>
      </c>
      <c r="L20" s="130">
        <v>42692</v>
      </c>
      <c r="M20" s="493">
        <v>43234</v>
      </c>
      <c r="N20" s="73"/>
      <c r="O20" s="146" t="s">
        <v>167</v>
      </c>
      <c r="P20" s="148">
        <v>41808</v>
      </c>
      <c r="Q20" s="85">
        <v>1723.35</v>
      </c>
      <c r="R20" s="162"/>
      <c r="S20" s="150">
        <v>41919</v>
      </c>
    </row>
    <row r="21" spans="1:19" x14ac:dyDescent="0.25">
      <c r="A21" s="22">
        <v>19</v>
      </c>
      <c r="B21" s="77" t="s">
        <v>45</v>
      </c>
      <c r="C21" s="73">
        <v>53</v>
      </c>
      <c r="D21" s="89">
        <v>1</v>
      </c>
      <c r="E21" s="73" t="s">
        <v>133</v>
      </c>
      <c r="F21" s="164">
        <v>42612</v>
      </c>
      <c r="G21" s="394">
        <f>36/C21</f>
        <v>0.67924528301886788</v>
      </c>
      <c r="H21" s="395" t="s">
        <v>75</v>
      </c>
      <c r="I21" s="393"/>
      <c r="J21" s="393"/>
      <c r="K21" s="391"/>
      <c r="L21" s="392"/>
      <c r="M21" s="393"/>
      <c r="N21" s="391"/>
      <c r="O21" s="146" t="s">
        <v>77</v>
      </c>
      <c r="P21" s="148">
        <v>42678</v>
      </c>
      <c r="Q21" s="85"/>
      <c r="R21" s="162">
        <v>499.11</v>
      </c>
      <c r="S21" s="150">
        <v>42793</v>
      </c>
    </row>
    <row r="22" spans="1:19" x14ac:dyDescent="0.25">
      <c r="A22" s="22">
        <v>20</v>
      </c>
      <c r="B22" s="77" t="s">
        <v>46</v>
      </c>
      <c r="C22" s="73">
        <v>40</v>
      </c>
      <c r="D22" s="89">
        <v>0</v>
      </c>
      <c r="E22" s="73" t="s">
        <v>114</v>
      </c>
      <c r="F22" s="164">
        <v>41603</v>
      </c>
      <c r="G22" s="165">
        <f>24/40</f>
        <v>0.6</v>
      </c>
      <c r="H22" s="461" t="s">
        <v>68</v>
      </c>
      <c r="I22" s="462" t="s">
        <v>224</v>
      </c>
      <c r="J22" s="462">
        <f>K22*3.4528</f>
        <v>689460.14508799999</v>
      </c>
      <c r="K22" s="463">
        <v>199681.46</v>
      </c>
      <c r="L22" s="464">
        <v>42919</v>
      </c>
      <c r="M22" s="462"/>
      <c r="N22" s="463"/>
      <c r="O22" s="146" t="s">
        <v>167</v>
      </c>
      <c r="P22" s="148">
        <v>41808</v>
      </c>
      <c r="Q22" s="85">
        <v>1723.35</v>
      </c>
      <c r="R22" s="162"/>
      <c r="S22" s="150">
        <v>41919</v>
      </c>
    </row>
    <row r="23" spans="1:19" x14ac:dyDescent="0.25">
      <c r="A23" s="22">
        <v>21</v>
      </c>
      <c r="B23" s="77" t="s">
        <v>47</v>
      </c>
      <c r="C23" s="73">
        <v>40</v>
      </c>
      <c r="D23" s="89">
        <v>1</v>
      </c>
      <c r="E23" s="73" t="s">
        <v>121</v>
      </c>
      <c r="F23" s="164">
        <v>41610</v>
      </c>
      <c r="G23" s="165">
        <f>24/40</f>
        <v>0.6</v>
      </c>
      <c r="H23" s="166" t="s">
        <v>68</v>
      </c>
      <c r="I23" s="73" t="s">
        <v>228</v>
      </c>
      <c r="J23" s="167">
        <v>1456789.13</v>
      </c>
      <c r="K23" s="147">
        <f t="shared" ref="K23:K33" si="1">J23/3.4528</f>
        <v>421915.29483317886</v>
      </c>
      <c r="L23" s="130">
        <v>41724</v>
      </c>
      <c r="M23" s="75">
        <v>42710</v>
      </c>
      <c r="N23" s="73" t="s">
        <v>68</v>
      </c>
      <c r="O23" s="146" t="s">
        <v>111</v>
      </c>
      <c r="P23" s="151">
        <v>41607</v>
      </c>
      <c r="Q23" s="152">
        <v>1748</v>
      </c>
      <c r="R23" s="153"/>
      <c r="S23" s="150">
        <v>41722</v>
      </c>
    </row>
    <row r="24" spans="1:19" x14ac:dyDescent="0.25">
      <c r="A24" s="22">
        <v>22</v>
      </c>
      <c r="B24" s="307" t="s">
        <v>48</v>
      </c>
      <c r="C24" s="42">
        <v>45</v>
      </c>
      <c r="D24" s="281">
        <v>1</v>
      </c>
      <c r="E24" s="42" t="s">
        <v>147</v>
      </c>
      <c r="F24" s="308">
        <v>41599</v>
      </c>
      <c r="G24" s="309">
        <f>26/45</f>
        <v>0.57777777777777772</v>
      </c>
      <c r="H24" s="310" t="s">
        <v>68</v>
      </c>
      <c r="I24" s="279" t="s">
        <v>228</v>
      </c>
      <c r="J24" s="338">
        <f>923720.55</f>
        <v>923720.55</v>
      </c>
      <c r="K24" s="299">
        <f t="shared" si="1"/>
        <v>267527.96281278966</v>
      </c>
      <c r="L24" s="297">
        <v>41848</v>
      </c>
      <c r="M24" s="300">
        <v>42347</v>
      </c>
      <c r="N24" s="42" t="s">
        <v>68</v>
      </c>
      <c r="O24" s="279" t="s">
        <v>111</v>
      </c>
      <c r="P24" s="301">
        <v>41607</v>
      </c>
      <c r="Q24" s="302">
        <v>1748</v>
      </c>
      <c r="R24" s="303"/>
      <c r="S24" s="304">
        <v>41722</v>
      </c>
    </row>
    <row r="25" spans="1:19" x14ac:dyDescent="0.25">
      <c r="A25" s="22">
        <v>23</v>
      </c>
      <c r="B25" s="307" t="s">
        <v>49</v>
      </c>
      <c r="C25" s="42">
        <v>75</v>
      </c>
      <c r="D25" s="281">
        <v>0</v>
      </c>
      <c r="E25" s="42" t="s">
        <v>116</v>
      </c>
      <c r="F25" s="308">
        <v>41611</v>
      </c>
      <c r="G25" s="309">
        <f>45/75</f>
        <v>0.6</v>
      </c>
      <c r="H25" s="280" t="s">
        <v>68</v>
      </c>
      <c r="I25" s="279" t="s">
        <v>228</v>
      </c>
      <c r="J25" s="338">
        <v>1696000.19</v>
      </c>
      <c r="K25" s="299">
        <f t="shared" si="1"/>
        <v>491195.60646431881</v>
      </c>
      <c r="L25" s="297">
        <v>41746</v>
      </c>
      <c r="M25" s="300">
        <v>42347</v>
      </c>
      <c r="N25" s="42" t="s">
        <v>68</v>
      </c>
      <c r="O25" s="279" t="s">
        <v>167</v>
      </c>
      <c r="P25" s="305">
        <v>41843</v>
      </c>
      <c r="Q25" s="127">
        <v>1723.35</v>
      </c>
      <c r="R25" s="138"/>
      <c r="S25" s="304">
        <v>41914</v>
      </c>
    </row>
    <row r="26" spans="1:19" x14ac:dyDescent="0.25">
      <c r="A26" s="22">
        <v>24</v>
      </c>
      <c r="B26" s="307" t="s">
        <v>50</v>
      </c>
      <c r="C26" s="42">
        <v>45</v>
      </c>
      <c r="D26" s="281">
        <v>1</v>
      </c>
      <c r="E26" s="42" t="s">
        <v>120</v>
      </c>
      <c r="F26" s="308">
        <v>41597</v>
      </c>
      <c r="G26" s="309">
        <f>30/45</f>
        <v>0.66666666666666663</v>
      </c>
      <c r="H26" s="310" t="s">
        <v>68</v>
      </c>
      <c r="I26" s="279" t="s">
        <v>224</v>
      </c>
      <c r="J26" s="299">
        <v>1152731.33</v>
      </c>
      <c r="K26" s="299">
        <f t="shared" si="1"/>
        <v>333854.06916126044</v>
      </c>
      <c r="L26" s="297">
        <v>41694</v>
      </c>
      <c r="M26" s="300">
        <v>42173</v>
      </c>
      <c r="N26" s="341" t="s">
        <v>68</v>
      </c>
      <c r="O26" s="279" t="s">
        <v>167</v>
      </c>
      <c r="P26" s="305">
        <v>41844</v>
      </c>
      <c r="Q26" s="127">
        <v>1726.12</v>
      </c>
      <c r="R26" s="138"/>
      <c r="S26" s="304">
        <v>41914</v>
      </c>
    </row>
    <row r="27" spans="1:19" x14ac:dyDescent="0.25">
      <c r="A27" s="22">
        <v>25</v>
      </c>
      <c r="B27" s="307" t="s">
        <v>52</v>
      </c>
      <c r="C27" s="42">
        <v>40</v>
      </c>
      <c r="D27" s="281">
        <v>0</v>
      </c>
      <c r="E27" s="42" t="s">
        <v>136</v>
      </c>
      <c r="F27" s="308">
        <v>41612</v>
      </c>
      <c r="G27" s="309">
        <f>24/40</f>
        <v>0.6</v>
      </c>
      <c r="H27" s="310" t="s">
        <v>68</v>
      </c>
      <c r="I27" s="279" t="s">
        <v>96</v>
      </c>
      <c r="J27" s="299">
        <v>956485.64</v>
      </c>
      <c r="K27" s="299">
        <f t="shared" si="1"/>
        <v>277017.38878591289</v>
      </c>
      <c r="L27" s="297">
        <v>41743</v>
      </c>
      <c r="M27" s="300">
        <v>42209</v>
      </c>
      <c r="N27" s="341" t="s">
        <v>68</v>
      </c>
      <c r="O27" s="279" t="s">
        <v>167</v>
      </c>
      <c r="P27" s="305">
        <v>41850</v>
      </c>
      <c r="Q27" s="127">
        <v>1723.35</v>
      </c>
      <c r="R27" s="138"/>
      <c r="S27" s="304">
        <v>41914</v>
      </c>
    </row>
    <row r="28" spans="1:19" x14ac:dyDescent="0.25">
      <c r="A28" s="22">
        <v>26</v>
      </c>
      <c r="B28" s="307" t="s">
        <v>54</v>
      </c>
      <c r="C28" s="42">
        <v>65</v>
      </c>
      <c r="D28" s="281">
        <v>5</v>
      </c>
      <c r="E28" s="42" t="s">
        <v>137</v>
      </c>
      <c r="F28" s="308">
        <v>41606</v>
      </c>
      <c r="G28" s="309">
        <f>38/65</f>
        <v>0.58461538461538465</v>
      </c>
      <c r="H28" s="310" t="s">
        <v>68</v>
      </c>
      <c r="I28" s="279" t="s">
        <v>96</v>
      </c>
      <c r="J28" s="299">
        <v>1053825.3</v>
      </c>
      <c r="K28" s="299">
        <f t="shared" si="1"/>
        <v>305208.90291936981</v>
      </c>
      <c r="L28" s="297">
        <v>41779</v>
      </c>
      <c r="M28" s="300">
        <v>42209</v>
      </c>
      <c r="N28" s="341" t="s">
        <v>68</v>
      </c>
      <c r="O28" s="279" t="s">
        <v>167</v>
      </c>
      <c r="P28" s="305">
        <v>41850</v>
      </c>
      <c r="Q28" s="127">
        <v>1723.35</v>
      </c>
      <c r="R28" s="138"/>
      <c r="S28" s="304">
        <v>41914</v>
      </c>
    </row>
    <row r="29" spans="1:19" x14ac:dyDescent="0.25">
      <c r="A29" s="22">
        <v>27</v>
      </c>
      <c r="B29" s="307" t="s">
        <v>56</v>
      </c>
      <c r="C29" s="42">
        <v>25</v>
      </c>
      <c r="D29" s="281">
        <v>0</v>
      </c>
      <c r="E29" s="42" t="s">
        <v>138</v>
      </c>
      <c r="F29" s="308">
        <v>41612</v>
      </c>
      <c r="G29" s="309">
        <f>14/24</f>
        <v>0.58333333333333337</v>
      </c>
      <c r="H29" s="280" t="s">
        <v>68</v>
      </c>
      <c r="I29" s="279" t="s">
        <v>78</v>
      </c>
      <c r="J29" s="299">
        <v>719911.01</v>
      </c>
      <c r="K29" s="299">
        <f t="shared" si="1"/>
        <v>208500.64006024098</v>
      </c>
      <c r="L29" s="297">
        <v>41747</v>
      </c>
      <c r="M29" s="300">
        <v>42192</v>
      </c>
      <c r="N29" s="341" t="s">
        <v>68</v>
      </c>
      <c r="O29" s="279" t="s">
        <v>167</v>
      </c>
      <c r="P29" s="305">
        <v>41850</v>
      </c>
      <c r="Q29" s="127">
        <v>1723.35</v>
      </c>
      <c r="R29" s="138"/>
      <c r="S29" s="304">
        <v>41914</v>
      </c>
    </row>
    <row r="30" spans="1:19" x14ac:dyDescent="0.25">
      <c r="A30" s="22">
        <v>28</v>
      </c>
      <c r="B30" s="307" t="s">
        <v>57</v>
      </c>
      <c r="C30" s="42">
        <v>80</v>
      </c>
      <c r="D30" s="281">
        <v>3</v>
      </c>
      <c r="E30" s="42" t="s">
        <v>125</v>
      </c>
      <c r="F30" s="308">
        <v>41596</v>
      </c>
      <c r="G30" s="309">
        <f>50/80</f>
        <v>0.625</v>
      </c>
      <c r="H30" s="310" t="s">
        <v>68</v>
      </c>
      <c r="I30" s="279" t="s">
        <v>78</v>
      </c>
      <c r="J30" s="338">
        <v>2036111.41</v>
      </c>
      <c r="K30" s="299">
        <f t="shared" si="1"/>
        <v>589698.62430491194</v>
      </c>
      <c r="L30" s="297">
        <v>41710</v>
      </c>
      <c r="M30" s="300">
        <v>42310</v>
      </c>
      <c r="N30" s="42" t="s">
        <v>68</v>
      </c>
      <c r="O30" s="279" t="s">
        <v>111</v>
      </c>
      <c r="P30" s="301">
        <v>41607</v>
      </c>
      <c r="Q30" s="302">
        <v>1748</v>
      </c>
      <c r="R30" s="303"/>
      <c r="S30" s="304">
        <v>41722</v>
      </c>
    </row>
    <row r="31" spans="1:19" x14ac:dyDescent="0.25">
      <c r="A31" s="22">
        <v>29</v>
      </c>
      <c r="B31" s="307" t="s">
        <v>478</v>
      </c>
      <c r="C31" s="42">
        <v>45</v>
      </c>
      <c r="D31" s="281">
        <v>0</v>
      </c>
      <c r="E31" s="42" t="s">
        <v>156</v>
      </c>
      <c r="F31" s="308">
        <v>41663</v>
      </c>
      <c r="G31" s="350">
        <f>32/45</f>
        <v>0.71111111111111114</v>
      </c>
      <c r="H31" s="310" t="s">
        <v>68</v>
      </c>
      <c r="I31" s="279" t="s">
        <v>228</v>
      </c>
      <c r="J31" s="338">
        <v>1545051.75</v>
      </c>
      <c r="K31" s="299">
        <f t="shared" si="1"/>
        <v>447477.91647358669</v>
      </c>
      <c r="L31" s="297">
        <v>41743</v>
      </c>
      <c r="M31" s="300">
        <v>42278</v>
      </c>
      <c r="N31" s="341" t="s">
        <v>68</v>
      </c>
      <c r="O31" s="279" t="s">
        <v>167</v>
      </c>
      <c r="P31" s="305">
        <v>41906</v>
      </c>
      <c r="Q31" s="127">
        <v>1716.42</v>
      </c>
      <c r="R31" s="138"/>
      <c r="S31" s="304">
        <v>41947</v>
      </c>
    </row>
    <row r="32" spans="1:19" x14ac:dyDescent="0.25">
      <c r="A32" s="22">
        <v>30</v>
      </c>
      <c r="B32" s="77" t="s">
        <v>60</v>
      </c>
      <c r="C32" s="73">
        <v>50</v>
      </c>
      <c r="D32" s="89">
        <v>4</v>
      </c>
      <c r="E32" s="73" t="s">
        <v>141</v>
      </c>
      <c r="F32" s="164">
        <v>41613</v>
      </c>
      <c r="G32" s="165">
        <f>30/50</f>
        <v>0.6</v>
      </c>
      <c r="H32" s="166" t="s">
        <v>68</v>
      </c>
      <c r="I32" s="73" t="s">
        <v>228</v>
      </c>
      <c r="J32" s="167">
        <v>1275003.67</v>
      </c>
      <c r="K32" s="147">
        <f t="shared" si="1"/>
        <v>369266.5865384615</v>
      </c>
      <c r="L32" s="130">
        <v>41739</v>
      </c>
      <c r="M32" s="75">
        <v>42710</v>
      </c>
      <c r="N32" s="73" t="s">
        <v>68</v>
      </c>
      <c r="O32" s="146" t="s">
        <v>167</v>
      </c>
      <c r="P32" s="148">
        <v>41850</v>
      </c>
      <c r="Q32" s="85">
        <v>1723.35</v>
      </c>
      <c r="R32" s="162"/>
      <c r="S32" s="150">
        <v>41914</v>
      </c>
    </row>
    <row r="33" spans="1:19" x14ac:dyDescent="0.25">
      <c r="A33" s="22">
        <v>31</v>
      </c>
      <c r="B33" s="307" t="s">
        <v>61</v>
      </c>
      <c r="C33" s="42">
        <v>60</v>
      </c>
      <c r="D33" s="281">
        <v>4</v>
      </c>
      <c r="E33" s="42" t="s">
        <v>134</v>
      </c>
      <c r="F33" s="308">
        <v>41612</v>
      </c>
      <c r="G33" s="309">
        <f>40/60</f>
        <v>0.66666666666666663</v>
      </c>
      <c r="H33" s="310" t="s">
        <v>68</v>
      </c>
      <c r="I33" s="279" t="s">
        <v>78</v>
      </c>
      <c r="J33" s="338">
        <v>1315111.1100000001</v>
      </c>
      <c r="K33" s="299">
        <f t="shared" si="1"/>
        <v>380882.50405468029</v>
      </c>
      <c r="L33" s="297">
        <v>41774</v>
      </c>
      <c r="M33" s="300">
        <v>42353</v>
      </c>
      <c r="N33" s="42" t="s">
        <v>68</v>
      </c>
      <c r="O33" s="279" t="s">
        <v>167</v>
      </c>
      <c r="P33" s="305">
        <v>41850</v>
      </c>
      <c r="Q33" s="127">
        <v>1723.35</v>
      </c>
      <c r="R33" s="138"/>
      <c r="S33" s="304">
        <v>41914</v>
      </c>
    </row>
    <row r="34" spans="1:19" ht="15.75" thickBot="1" x14ac:dyDescent="0.3">
      <c r="A34" s="24">
        <v>32</v>
      </c>
      <c r="B34" s="169" t="s">
        <v>63</v>
      </c>
      <c r="C34" s="169">
        <v>120</v>
      </c>
      <c r="D34" s="170">
        <v>72</v>
      </c>
      <c r="E34" s="169" t="s">
        <v>126</v>
      </c>
      <c r="F34" s="171">
        <v>41598</v>
      </c>
      <c r="G34" s="180">
        <f>75/120</f>
        <v>0.625</v>
      </c>
      <c r="H34" s="34" t="s">
        <v>75</v>
      </c>
      <c r="I34" s="35"/>
      <c r="J34" s="35"/>
      <c r="K34" s="81"/>
      <c r="L34" s="34"/>
      <c r="M34" s="35"/>
      <c r="N34" s="81"/>
      <c r="O34" s="173" t="s">
        <v>167</v>
      </c>
      <c r="P34" s="174">
        <v>41851</v>
      </c>
      <c r="Q34" s="187">
        <v>1723.35</v>
      </c>
      <c r="R34" s="406"/>
      <c r="S34" s="176">
        <v>41914</v>
      </c>
    </row>
    <row r="35" spans="1:19" x14ac:dyDescent="0.25">
      <c r="A35" s="106"/>
      <c r="B35" s="47" t="s">
        <v>110</v>
      </c>
      <c r="C35" s="2">
        <f>SUM(C3:C34)</f>
        <v>1586</v>
      </c>
      <c r="D35" s="2">
        <f>SUM(D3:D34)</f>
        <v>165</v>
      </c>
      <c r="E35" s="1"/>
      <c r="F35" s="1"/>
      <c r="G35" s="31">
        <f>COUNTIF(G3:G34,"&gt;50%")</f>
        <v>32</v>
      </c>
      <c r="H35" s="31">
        <f>COUNTIF(H3:H34,"Taip")</f>
        <v>29</v>
      </c>
      <c r="I35" s="31">
        <f>COUNTA(I3:I34)</f>
        <v>29</v>
      </c>
      <c r="J35" s="52">
        <f>SUM(J3:J34)</f>
        <v>31549652.451520003</v>
      </c>
      <c r="K35" s="52">
        <f>SUM(K3:K34)</f>
        <v>9471565.7378035225</v>
      </c>
      <c r="L35" s="47">
        <f>COUNTA(L3:L34)</f>
        <v>29</v>
      </c>
      <c r="M35" s="47">
        <f>COUNTA(M3:M34)</f>
        <v>27</v>
      </c>
      <c r="N35" s="47">
        <f>COUNTA(N3:N34)</f>
        <v>26</v>
      </c>
      <c r="O35" s="1"/>
    </row>
    <row r="36" spans="1:19" ht="16.5" thickBot="1" x14ac:dyDescent="0.3">
      <c r="A36" s="489" t="s">
        <v>232</v>
      </c>
      <c r="B36" s="489"/>
      <c r="K36" s="47"/>
      <c r="L36" s="47"/>
      <c r="M36" s="47"/>
      <c r="N36" s="47"/>
      <c r="O36" s="1"/>
    </row>
    <row r="37" spans="1:19" ht="48" customHeight="1" thickBot="1" x14ac:dyDescent="0.3">
      <c r="A37" s="36" t="s">
        <v>0</v>
      </c>
      <c r="B37" s="37" t="s">
        <v>1</v>
      </c>
      <c r="C37" s="38" t="s">
        <v>94</v>
      </c>
      <c r="D37" s="53" t="s">
        <v>95</v>
      </c>
      <c r="E37" s="53" t="s">
        <v>102</v>
      </c>
      <c r="F37" s="38" t="s">
        <v>2</v>
      </c>
      <c r="G37" s="53" t="s">
        <v>69</v>
      </c>
      <c r="H37" s="53" t="s">
        <v>3</v>
      </c>
      <c r="I37" s="53" t="s">
        <v>73</v>
      </c>
      <c r="J37" s="53" t="s">
        <v>226</v>
      </c>
      <c r="K37" s="53" t="s">
        <v>225</v>
      </c>
      <c r="L37" s="53" t="s">
        <v>108</v>
      </c>
      <c r="M37" s="53" t="s">
        <v>243</v>
      </c>
      <c r="N37" s="422" t="s">
        <v>389</v>
      </c>
      <c r="O37" s="53" t="s">
        <v>109</v>
      </c>
      <c r="P37" s="53" t="s">
        <v>170</v>
      </c>
      <c r="Q37" s="53" t="s">
        <v>168</v>
      </c>
      <c r="R37" s="53" t="s">
        <v>247</v>
      </c>
      <c r="S37" s="53" t="s">
        <v>1124</v>
      </c>
    </row>
    <row r="38" spans="1:19" ht="15" customHeight="1" x14ac:dyDescent="0.25">
      <c r="A38" s="22">
        <v>1</v>
      </c>
      <c r="B38" s="73" t="s">
        <v>5</v>
      </c>
      <c r="C38" s="146">
        <v>6</v>
      </c>
      <c r="D38" s="73">
        <v>3</v>
      </c>
      <c r="E38" s="177" t="s">
        <v>186</v>
      </c>
      <c r="F38" s="140">
        <v>41890</v>
      </c>
      <c r="G38" s="165">
        <f>5/C38</f>
        <v>0.83333333333333337</v>
      </c>
      <c r="H38" s="28" t="s">
        <v>75</v>
      </c>
      <c r="I38" s="15"/>
      <c r="J38" s="15"/>
      <c r="K38" s="15"/>
      <c r="L38" s="46"/>
      <c r="M38" s="46"/>
      <c r="N38" s="95"/>
      <c r="O38" s="154" t="s">
        <v>111</v>
      </c>
      <c r="P38" s="148">
        <v>41883</v>
      </c>
      <c r="Q38" s="149">
        <f t="shared" ref="Q38:Q49" si="2">35798.88/19</f>
        <v>1884.1515789473683</v>
      </c>
      <c r="R38" s="112"/>
      <c r="S38" s="150">
        <v>41908</v>
      </c>
    </row>
    <row r="39" spans="1:19" x14ac:dyDescent="0.25">
      <c r="A39" s="22">
        <v>2</v>
      </c>
      <c r="B39" s="42" t="s">
        <v>6</v>
      </c>
      <c r="C39" s="279">
        <v>60</v>
      </c>
      <c r="D39" s="42">
        <v>2</v>
      </c>
      <c r="E39" s="340" t="s">
        <v>180</v>
      </c>
      <c r="F39" s="341">
        <v>41890</v>
      </c>
      <c r="G39" s="309">
        <f>40/C39</f>
        <v>0.66666666666666663</v>
      </c>
      <c r="H39" s="280" t="s">
        <v>68</v>
      </c>
      <c r="I39" s="279" t="s">
        <v>78</v>
      </c>
      <c r="J39" s="299">
        <f>K39*3.4528</f>
        <v>1655049.4417600001</v>
      </c>
      <c r="K39" s="338">
        <v>479335.45</v>
      </c>
      <c r="L39" s="342">
        <v>42061</v>
      </c>
      <c r="M39" s="342">
        <v>42534</v>
      </c>
      <c r="N39" s="44" t="s">
        <v>68</v>
      </c>
      <c r="O39" s="323" t="s">
        <v>111</v>
      </c>
      <c r="P39" s="305">
        <v>41883</v>
      </c>
      <c r="Q39" s="292">
        <f t="shared" si="2"/>
        <v>1884.1515789473683</v>
      </c>
      <c r="R39" s="306"/>
      <c r="S39" s="304">
        <v>41908</v>
      </c>
    </row>
    <row r="40" spans="1:19" ht="15" customHeight="1" x14ac:dyDescent="0.25">
      <c r="A40" s="22">
        <v>3</v>
      </c>
      <c r="B40" s="42" t="s">
        <v>7</v>
      </c>
      <c r="C40" s="279">
        <v>45</v>
      </c>
      <c r="D40" s="42">
        <v>0</v>
      </c>
      <c r="E40" s="340" t="s">
        <v>190</v>
      </c>
      <c r="F40" s="341">
        <v>41890</v>
      </c>
      <c r="G40" s="309">
        <f>33/C40</f>
        <v>0.73333333333333328</v>
      </c>
      <c r="H40" s="280" t="s">
        <v>68</v>
      </c>
      <c r="I40" s="279" t="s">
        <v>228</v>
      </c>
      <c r="J40" s="299">
        <v>1986094.33</v>
      </c>
      <c r="K40" s="338">
        <f>J40/3.4528</f>
        <v>575212.67666821135</v>
      </c>
      <c r="L40" s="342">
        <v>42002</v>
      </c>
      <c r="M40" s="342">
        <v>42396</v>
      </c>
      <c r="N40" s="44" t="s">
        <v>68</v>
      </c>
      <c r="O40" s="323" t="s">
        <v>111</v>
      </c>
      <c r="P40" s="305">
        <v>41883</v>
      </c>
      <c r="Q40" s="292">
        <f t="shared" si="2"/>
        <v>1884.1515789473683</v>
      </c>
      <c r="R40" s="306"/>
      <c r="S40" s="304">
        <v>41908</v>
      </c>
    </row>
    <row r="41" spans="1:19" x14ac:dyDescent="0.25">
      <c r="A41" s="22">
        <v>4</v>
      </c>
      <c r="B41" s="42" t="s">
        <v>8</v>
      </c>
      <c r="C41" s="279">
        <v>60</v>
      </c>
      <c r="D41" s="42">
        <v>1</v>
      </c>
      <c r="E41" s="340" t="s">
        <v>184</v>
      </c>
      <c r="F41" s="341">
        <v>41891</v>
      </c>
      <c r="G41" s="309">
        <f>36/C41</f>
        <v>0.6</v>
      </c>
      <c r="H41" s="280" t="s">
        <v>68</v>
      </c>
      <c r="I41" s="279" t="s">
        <v>78</v>
      </c>
      <c r="J41" s="299">
        <f t="shared" ref="J41:J50" si="3">K41*3.4528</f>
        <v>1724411.17</v>
      </c>
      <c r="K41" s="338">
        <f>1724411.17/3.4528</f>
        <v>499423.9950185357</v>
      </c>
      <c r="L41" s="342">
        <v>42002</v>
      </c>
      <c r="M41" s="342">
        <v>42402</v>
      </c>
      <c r="N41" s="44" t="s">
        <v>68</v>
      </c>
      <c r="O41" s="323" t="s">
        <v>111</v>
      </c>
      <c r="P41" s="305">
        <v>41883</v>
      </c>
      <c r="Q41" s="292">
        <f t="shared" si="2"/>
        <v>1884.1515789473683</v>
      </c>
      <c r="R41" s="306"/>
      <c r="S41" s="304">
        <v>41908</v>
      </c>
    </row>
    <row r="42" spans="1:19" x14ac:dyDescent="0.25">
      <c r="A42" s="22">
        <v>5</v>
      </c>
      <c r="B42" s="42" t="s">
        <v>9</v>
      </c>
      <c r="C42" s="279">
        <v>50</v>
      </c>
      <c r="D42" s="42">
        <v>4</v>
      </c>
      <c r="E42" s="340" t="s">
        <v>181</v>
      </c>
      <c r="F42" s="341">
        <v>41953</v>
      </c>
      <c r="G42" s="298">
        <f>33/C42</f>
        <v>0.66</v>
      </c>
      <c r="H42" s="279" t="s">
        <v>68</v>
      </c>
      <c r="I42" s="279" t="s">
        <v>224</v>
      </c>
      <c r="J42" s="299">
        <f t="shared" si="3"/>
        <v>1725704.709664</v>
      </c>
      <c r="K42" s="338">
        <v>499798.63</v>
      </c>
      <c r="L42" s="342">
        <v>42034</v>
      </c>
      <c r="M42" s="342">
        <v>42572</v>
      </c>
      <c r="N42" s="44" t="s">
        <v>68</v>
      </c>
      <c r="O42" s="323" t="s">
        <v>111</v>
      </c>
      <c r="P42" s="305">
        <v>41883</v>
      </c>
      <c r="Q42" s="292">
        <f t="shared" si="2"/>
        <v>1884.1515789473683</v>
      </c>
      <c r="R42" s="306"/>
      <c r="S42" s="304">
        <v>41908</v>
      </c>
    </row>
    <row r="43" spans="1:19" x14ac:dyDescent="0.25">
      <c r="A43" s="22">
        <v>6</v>
      </c>
      <c r="B43" s="42" t="s">
        <v>10</v>
      </c>
      <c r="C43" s="279">
        <v>50</v>
      </c>
      <c r="D43" s="42">
        <v>1</v>
      </c>
      <c r="E43" s="340" t="s">
        <v>176</v>
      </c>
      <c r="F43" s="341">
        <v>41891</v>
      </c>
      <c r="G43" s="309">
        <f>31/C43</f>
        <v>0.62</v>
      </c>
      <c r="H43" s="280" t="s">
        <v>68</v>
      </c>
      <c r="I43" s="279" t="s">
        <v>228</v>
      </c>
      <c r="J43" s="299">
        <f t="shared" si="3"/>
        <v>1547000.69</v>
      </c>
      <c r="K43" s="338">
        <f>1547000.69/3.4528</f>
        <v>448042.3685125116</v>
      </c>
      <c r="L43" s="342">
        <v>41995</v>
      </c>
      <c r="M43" s="342">
        <v>42563</v>
      </c>
      <c r="N43" s="44" t="s">
        <v>68</v>
      </c>
      <c r="O43" s="323" t="s">
        <v>111</v>
      </c>
      <c r="P43" s="305">
        <v>41883</v>
      </c>
      <c r="Q43" s="292">
        <f t="shared" si="2"/>
        <v>1884.1515789473683</v>
      </c>
      <c r="R43" s="306"/>
      <c r="S43" s="304">
        <v>41908</v>
      </c>
    </row>
    <row r="44" spans="1:19" x14ac:dyDescent="0.25">
      <c r="A44" s="22">
        <v>7</v>
      </c>
      <c r="B44" s="42" t="s">
        <v>11</v>
      </c>
      <c r="C44" s="279">
        <v>60</v>
      </c>
      <c r="D44" s="42">
        <v>4</v>
      </c>
      <c r="E44" s="340" t="s">
        <v>185</v>
      </c>
      <c r="F44" s="341">
        <v>41892</v>
      </c>
      <c r="G44" s="309">
        <f>36/C44</f>
        <v>0.6</v>
      </c>
      <c r="H44" s="280" t="s">
        <v>68</v>
      </c>
      <c r="I44" s="279" t="s">
        <v>78</v>
      </c>
      <c r="J44" s="299">
        <f t="shared" si="3"/>
        <v>1601316.7955199999</v>
      </c>
      <c r="K44" s="338">
        <v>463773.4</v>
      </c>
      <c r="L44" s="342">
        <v>42058</v>
      </c>
      <c r="M44" s="342">
        <v>42458</v>
      </c>
      <c r="N44" s="44" t="s">
        <v>68</v>
      </c>
      <c r="O44" s="323" t="s">
        <v>111</v>
      </c>
      <c r="P44" s="305">
        <v>41883</v>
      </c>
      <c r="Q44" s="292">
        <f t="shared" si="2"/>
        <v>1884.1515789473683</v>
      </c>
      <c r="R44" s="306"/>
      <c r="S44" s="304">
        <v>41908</v>
      </c>
    </row>
    <row r="45" spans="1:19" x14ac:dyDescent="0.25">
      <c r="A45" s="22">
        <v>8</v>
      </c>
      <c r="B45" s="42" t="s">
        <v>12</v>
      </c>
      <c r="C45" s="279">
        <v>45</v>
      </c>
      <c r="D45" s="42">
        <v>0</v>
      </c>
      <c r="E45" s="340" t="s">
        <v>191</v>
      </c>
      <c r="F45" s="341">
        <v>41912</v>
      </c>
      <c r="G45" s="309">
        <f>29/C45</f>
        <v>0.64444444444444449</v>
      </c>
      <c r="H45" s="280" t="s">
        <v>68</v>
      </c>
      <c r="I45" s="279" t="s">
        <v>174</v>
      </c>
      <c r="J45" s="299">
        <f t="shared" si="3"/>
        <v>1646839.8918399999</v>
      </c>
      <c r="K45" s="338">
        <v>476957.8</v>
      </c>
      <c r="L45" s="342">
        <v>42023</v>
      </c>
      <c r="M45" s="342">
        <v>42573</v>
      </c>
      <c r="N45" s="44" t="s">
        <v>68</v>
      </c>
      <c r="O45" s="323" t="s">
        <v>111</v>
      </c>
      <c r="P45" s="305">
        <v>41883</v>
      </c>
      <c r="Q45" s="292">
        <f t="shared" si="2"/>
        <v>1884.1515789473683</v>
      </c>
      <c r="R45" s="306"/>
      <c r="S45" s="304">
        <v>41908</v>
      </c>
    </row>
    <row r="46" spans="1:19" x14ac:dyDescent="0.25">
      <c r="A46" s="22">
        <v>9</v>
      </c>
      <c r="B46" s="42" t="s">
        <v>13</v>
      </c>
      <c r="C46" s="279">
        <v>8</v>
      </c>
      <c r="D46" s="42">
        <v>0</v>
      </c>
      <c r="E46" s="340" t="s">
        <v>179</v>
      </c>
      <c r="F46" s="341">
        <v>41912</v>
      </c>
      <c r="G46" s="309">
        <v>1</v>
      </c>
      <c r="H46" s="280" t="s">
        <v>68</v>
      </c>
      <c r="I46" s="279" t="s">
        <v>174</v>
      </c>
      <c r="J46" s="299">
        <f t="shared" si="3"/>
        <v>399387.82748799998</v>
      </c>
      <c r="K46" s="338">
        <v>115670.71</v>
      </c>
      <c r="L46" s="342">
        <v>42041</v>
      </c>
      <c r="M46" s="342">
        <v>42404</v>
      </c>
      <c r="N46" s="44" t="s">
        <v>68</v>
      </c>
      <c r="O46" s="323" t="s">
        <v>111</v>
      </c>
      <c r="P46" s="305">
        <v>41883</v>
      </c>
      <c r="Q46" s="292">
        <f t="shared" si="2"/>
        <v>1884.1515789473683</v>
      </c>
      <c r="R46" s="306"/>
      <c r="S46" s="304">
        <v>41908</v>
      </c>
    </row>
    <row r="47" spans="1:19" x14ac:dyDescent="0.25">
      <c r="A47" s="22">
        <v>10</v>
      </c>
      <c r="B47" s="73" t="s">
        <v>14</v>
      </c>
      <c r="C47" s="146">
        <v>60</v>
      </c>
      <c r="D47" s="73">
        <v>2</v>
      </c>
      <c r="E47" s="177" t="s">
        <v>194</v>
      </c>
      <c r="F47" s="140">
        <v>41926</v>
      </c>
      <c r="G47" s="165">
        <f>37/C47</f>
        <v>0.6166666666666667</v>
      </c>
      <c r="H47" s="74" t="s">
        <v>68</v>
      </c>
      <c r="I47" s="146" t="s">
        <v>228</v>
      </c>
      <c r="J47" s="147">
        <f t="shared" si="3"/>
        <v>1556951.3194560001</v>
      </c>
      <c r="K47" s="167">
        <v>450924.27</v>
      </c>
      <c r="L47" s="178">
        <v>42080</v>
      </c>
      <c r="M47" s="75">
        <v>42605</v>
      </c>
      <c r="N47" s="102" t="s">
        <v>68</v>
      </c>
      <c r="O47" s="154" t="s">
        <v>111</v>
      </c>
      <c r="P47" s="148">
        <v>41883</v>
      </c>
      <c r="Q47" s="149">
        <f t="shared" si="2"/>
        <v>1884.1515789473683</v>
      </c>
      <c r="R47" s="112">
        <f>Q47/3.4528</f>
        <v>545.68801521876981</v>
      </c>
      <c r="S47" s="150">
        <v>41908</v>
      </c>
    </row>
    <row r="48" spans="1:19" x14ac:dyDescent="0.25">
      <c r="A48" s="22">
        <v>11</v>
      </c>
      <c r="B48" s="73" t="s">
        <v>483</v>
      </c>
      <c r="C48" s="146">
        <v>75</v>
      </c>
      <c r="D48" s="73">
        <v>0</v>
      </c>
      <c r="E48" s="177" t="s">
        <v>188</v>
      </c>
      <c r="F48" s="140">
        <v>41939</v>
      </c>
      <c r="G48" s="145">
        <f>50/C48</f>
        <v>0.66666666666666663</v>
      </c>
      <c r="H48" s="74" t="s">
        <v>68</v>
      </c>
      <c r="I48" s="146" t="s">
        <v>228</v>
      </c>
      <c r="J48" s="147">
        <f t="shared" si="3"/>
        <v>1968156.5621120001</v>
      </c>
      <c r="K48" s="167">
        <v>570017.54</v>
      </c>
      <c r="L48" s="178">
        <v>42076</v>
      </c>
      <c r="M48" s="178">
        <v>42660</v>
      </c>
      <c r="N48" s="102" t="s">
        <v>68</v>
      </c>
      <c r="O48" s="154" t="s">
        <v>111</v>
      </c>
      <c r="P48" s="148">
        <v>41883</v>
      </c>
      <c r="Q48" s="149">
        <f t="shared" si="2"/>
        <v>1884.1515789473683</v>
      </c>
      <c r="R48" s="112"/>
      <c r="S48" s="150">
        <v>41908</v>
      </c>
    </row>
    <row r="49" spans="1:19" x14ac:dyDescent="0.25">
      <c r="A49" s="22">
        <v>12</v>
      </c>
      <c r="B49" s="42" t="s">
        <v>19</v>
      </c>
      <c r="C49" s="279">
        <v>60</v>
      </c>
      <c r="D49" s="42">
        <v>3</v>
      </c>
      <c r="E49" s="340" t="s">
        <v>182</v>
      </c>
      <c r="F49" s="341">
        <v>41897</v>
      </c>
      <c r="G49" s="298">
        <f>47/C49</f>
        <v>0.78333333333333333</v>
      </c>
      <c r="H49" s="280" t="s">
        <v>68</v>
      </c>
      <c r="I49" s="279" t="s">
        <v>78</v>
      </c>
      <c r="J49" s="299">
        <f t="shared" si="3"/>
        <v>1491060.49</v>
      </c>
      <c r="K49" s="338">
        <f>1491060.49/3.4528</f>
        <v>431840.96675162186</v>
      </c>
      <c r="L49" s="342">
        <v>42002</v>
      </c>
      <c r="M49" s="342">
        <v>42346</v>
      </c>
      <c r="N49" s="44" t="s">
        <v>68</v>
      </c>
      <c r="O49" s="323" t="s">
        <v>111</v>
      </c>
      <c r="P49" s="305">
        <v>41883</v>
      </c>
      <c r="Q49" s="302">
        <f t="shared" si="2"/>
        <v>1884.1515789473683</v>
      </c>
      <c r="R49" s="303"/>
      <c r="S49" s="304">
        <v>41908</v>
      </c>
    </row>
    <row r="50" spans="1:19" x14ac:dyDescent="0.25">
      <c r="A50" s="22">
        <v>13</v>
      </c>
      <c r="B50" s="42" t="s">
        <v>20</v>
      </c>
      <c r="C50" s="279">
        <v>54</v>
      </c>
      <c r="D50" s="42">
        <v>2</v>
      </c>
      <c r="E50" s="279" t="s">
        <v>153</v>
      </c>
      <c r="F50" s="341">
        <v>41764</v>
      </c>
      <c r="G50" s="298">
        <v>0.63</v>
      </c>
      <c r="H50" s="280" t="s">
        <v>68</v>
      </c>
      <c r="I50" s="279" t="s">
        <v>78</v>
      </c>
      <c r="J50" s="299">
        <f t="shared" si="3"/>
        <v>1478396.02</v>
      </c>
      <c r="K50" s="338">
        <f>1478396.02/3.4528</f>
        <v>428173.08271547733</v>
      </c>
      <c r="L50" s="300">
        <v>41862</v>
      </c>
      <c r="M50" s="300">
        <v>42396</v>
      </c>
      <c r="N50" s="44" t="s">
        <v>68</v>
      </c>
      <c r="O50" s="279" t="s">
        <v>167</v>
      </c>
      <c r="P50" s="305">
        <v>41865</v>
      </c>
      <c r="Q50" s="292">
        <v>1827.1</v>
      </c>
      <c r="R50" s="306"/>
      <c r="S50" s="304">
        <v>41914</v>
      </c>
    </row>
    <row r="51" spans="1:19" x14ac:dyDescent="0.25">
      <c r="A51" s="22">
        <v>14</v>
      </c>
      <c r="B51" s="73" t="s">
        <v>1113</v>
      </c>
      <c r="C51" s="146">
        <v>53</v>
      </c>
      <c r="D51" s="73">
        <v>0</v>
      </c>
      <c r="E51" s="146" t="s">
        <v>124</v>
      </c>
      <c r="F51" s="140">
        <v>41765</v>
      </c>
      <c r="G51" s="145">
        <f>36/53</f>
        <v>0.67924528301886788</v>
      </c>
      <c r="H51" s="74" t="s">
        <v>68</v>
      </c>
      <c r="I51" s="73" t="s">
        <v>96</v>
      </c>
      <c r="J51" s="147">
        <v>1277722.56</v>
      </c>
      <c r="K51" s="167">
        <v>370054.03</v>
      </c>
      <c r="L51" s="75">
        <v>42166</v>
      </c>
      <c r="M51" s="75">
        <v>42661</v>
      </c>
      <c r="N51" s="73" t="s">
        <v>68</v>
      </c>
      <c r="O51" s="146" t="s">
        <v>167</v>
      </c>
      <c r="P51" s="148">
        <v>41865</v>
      </c>
      <c r="Q51" s="149">
        <v>1827.1</v>
      </c>
      <c r="R51" s="1">
        <f>Q51/3.4528</f>
        <v>529.16473586654308</v>
      </c>
      <c r="S51" s="150">
        <v>41914</v>
      </c>
    </row>
    <row r="52" spans="1:19" x14ac:dyDescent="0.25">
      <c r="A52" s="22">
        <v>15</v>
      </c>
      <c r="B52" s="42" t="s">
        <v>65</v>
      </c>
      <c r="C52" s="279">
        <v>20</v>
      </c>
      <c r="D52" s="42">
        <v>0</v>
      </c>
      <c r="E52" s="279" t="s">
        <v>163</v>
      </c>
      <c r="F52" s="341">
        <v>41583</v>
      </c>
      <c r="G52" s="298">
        <f>SUM(12/20)</f>
        <v>0.6</v>
      </c>
      <c r="H52" s="280" t="s">
        <v>68</v>
      </c>
      <c r="I52" s="42" t="s">
        <v>99</v>
      </c>
      <c r="J52" s="299">
        <f>K52*3.4528</f>
        <v>589513.03</v>
      </c>
      <c r="K52" s="338">
        <f>589513.03/3.4528</f>
        <v>170734.77467562558</v>
      </c>
      <c r="L52" s="300">
        <v>41775</v>
      </c>
      <c r="M52" s="300">
        <v>42618</v>
      </c>
      <c r="N52" s="42" t="s">
        <v>68</v>
      </c>
      <c r="O52" s="279" t="s">
        <v>167</v>
      </c>
      <c r="P52" s="305">
        <v>42430</v>
      </c>
      <c r="Q52" s="292">
        <f>R52*3.4528</f>
        <v>818.00284799999997</v>
      </c>
      <c r="R52" s="138">
        <v>236.91</v>
      </c>
      <c r="S52" s="304">
        <v>42467</v>
      </c>
    </row>
    <row r="53" spans="1:19" x14ac:dyDescent="0.25">
      <c r="A53" s="22">
        <v>16</v>
      </c>
      <c r="B53" s="42" t="s">
        <v>22</v>
      </c>
      <c r="C53" s="279">
        <v>75</v>
      </c>
      <c r="D53" s="42">
        <v>2</v>
      </c>
      <c r="E53" s="279" t="s">
        <v>151</v>
      </c>
      <c r="F53" s="341">
        <v>41764</v>
      </c>
      <c r="G53" s="298">
        <f>47/75</f>
        <v>0.62666666666666671</v>
      </c>
      <c r="H53" s="280" t="s">
        <v>68</v>
      </c>
      <c r="I53" s="279" t="s">
        <v>228</v>
      </c>
      <c r="J53" s="299">
        <v>1878047.32</v>
      </c>
      <c r="K53" s="338">
        <f>J53/3.4528</f>
        <v>543920.09962928644</v>
      </c>
      <c r="L53" s="300">
        <v>41848</v>
      </c>
      <c r="M53" s="300">
        <v>42361</v>
      </c>
      <c r="N53" s="42" t="s">
        <v>68</v>
      </c>
      <c r="O53" s="279" t="s">
        <v>167</v>
      </c>
      <c r="P53" s="305">
        <v>41865</v>
      </c>
      <c r="Q53" s="292">
        <v>1827.1</v>
      </c>
      <c r="R53" s="306"/>
      <c r="S53" s="304">
        <v>41914</v>
      </c>
    </row>
    <row r="54" spans="1:19" ht="15.75" thickBot="1" x14ac:dyDescent="0.3">
      <c r="A54" s="39">
        <v>17</v>
      </c>
      <c r="B54" s="43" t="s">
        <v>23</v>
      </c>
      <c r="C54" s="282">
        <v>30</v>
      </c>
      <c r="D54" s="43">
        <v>0</v>
      </c>
      <c r="E54" s="282" t="s">
        <v>148</v>
      </c>
      <c r="F54" s="312">
        <v>41765</v>
      </c>
      <c r="G54" s="313">
        <f>19/30</f>
        <v>0.6333333333333333</v>
      </c>
      <c r="H54" s="283" t="s">
        <v>68</v>
      </c>
      <c r="I54" s="314" t="s">
        <v>174</v>
      </c>
      <c r="J54" s="314">
        <f>K54*3.4528</f>
        <v>771145.1</v>
      </c>
      <c r="K54" s="314">
        <f>771145.1/3.4528</f>
        <v>223339.05815569972</v>
      </c>
      <c r="L54" s="315">
        <v>41862</v>
      </c>
      <c r="M54" s="315">
        <v>42283</v>
      </c>
      <c r="N54" s="312" t="s">
        <v>68</v>
      </c>
      <c r="O54" s="282" t="s">
        <v>167</v>
      </c>
      <c r="P54" s="316">
        <v>41865</v>
      </c>
      <c r="Q54" s="317">
        <v>1827.1</v>
      </c>
      <c r="R54" s="318"/>
      <c r="S54" s="319">
        <v>41914</v>
      </c>
    </row>
    <row r="55" spans="1:19" s="33" customFormat="1" x14ac:dyDescent="0.25">
      <c r="A55" s="48"/>
      <c r="B55" s="49" t="s">
        <v>110</v>
      </c>
      <c r="C55" s="33">
        <f>SUM(C38:C54)</f>
        <v>811</v>
      </c>
      <c r="D55" s="33">
        <f>SUM(D38:D54)</f>
        <v>24</v>
      </c>
      <c r="E55" s="47"/>
      <c r="F55" s="54"/>
      <c r="G55" s="47">
        <f>COUNTIF(G38:G54,"&gt;0,5")</f>
        <v>17</v>
      </c>
      <c r="H55" s="47">
        <f>COUNTIF(H38:H54,"Taip")</f>
        <v>16</v>
      </c>
      <c r="I55" s="47">
        <f>COUNTA(I38:I54)</f>
        <v>16</v>
      </c>
      <c r="J55" s="52">
        <f>SUM(J38:J54)</f>
        <v>23296797.25784</v>
      </c>
      <c r="K55" s="52">
        <f>SUM(K38:K54)</f>
        <v>6747218.85212697</v>
      </c>
      <c r="L55" s="47">
        <f>COUNTA(L38:L54)</f>
        <v>16</v>
      </c>
      <c r="M55" s="47">
        <f>COUNTA(M38:M54)</f>
        <v>16</v>
      </c>
      <c r="N55" s="47">
        <f>COUNTA(N38:N54)</f>
        <v>16</v>
      </c>
      <c r="O55" s="47"/>
    </row>
    <row r="56" spans="1:19" ht="16.5" thickBot="1" x14ac:dyDescent="0.3">
      <c r="A56" s="490" t="s">
        <v>233</v>
      </c>
      <c r="B56" s="490"/>
    </row>
    <row r="57" spans="1:19" ht="44.25" customHeight="1" thickBot="1" x14ac:dyDescent="0.3">
      <c r="A57" s="36" t="s">
        <v>0</v>
      </c>
      <c r="B57" s="37" t="s">
        <v>1</v>
      </c>
      <c r="C57" s="53" t="s">
        <v>94</v>
      </c>
      <c r="D57" s="53" t="s">
        <v>95</v>
      </c>
      <c r="E57" s="53" t="s">
        <v>102</v>
      </c>
      <c r="F57" s="53" t="s">
        <v>2</v>
      </c>
      <c r="G57" s="53" t="s">
        <v>69</v>
      </c>
      <c r="H57" s="53" t="s">
        <v>3</v>
      </c>
      <c r="I57" s="53" t="s">
        <v>73</v>
      </c>
      <c r="J57" s="53" t="s">
        <v>226</v>
      </c>
      <c r="K57" s="53" t="s">
        <v>225</v>
      </c>
      <c r="L57" s="53" t="s">
        <v>108</v>
      </c>
      <c r="M57" s="53" t="s">
        <v>243</v>
      </c>
      <c r="N57" s="422" t="s">
        <v>389</v>
      </c>
      <c r="O57" s="53" t="s">
        <v>109</v>
      </c>
      <c r="P57" s="53" t="s">
        <v>170</v>
      </c>
      <c r="Q57" s="53" t="s">
        <v>168</v>
      </c>
      <c r="R57" s="53" t="s">
        <v>247</v>
      </c>
      <c r="S57" s="53" t="s">
        <v>1124</v>
      </c>
    </row>
    <row r="58" spans="1:19" x14ac:dyDescent="0.25">
      <c r="A58" s="42">
        <v>1</v>
      </c>
      <c r="B58" s="42" t="s">
        <v>71</v>
      </c>
      <c r="C58" s="279">
        <v>48</v>
      </c>
      <c r="D58" s="42">
        <v>0</v>
      </c>
      <c r="E58" s="351" t="s">
        <v>195</v>
      </c>
      <c r="F58" s="342">
        <v>41905</v>
      </c>
      <c r="G58" s="352">
        <f>27/C58</f>
        <v>0.5625</v>
      </c>
      <c r="H58" s="280" t="s">
        <v>68</v>
      </c>
      <c r="I58" s="279" t="s">
        <v>96</v>
      </c>
      <c r="J58" s="299">
        <f>K58*3.4528</f>
        <v>1331488.8400000001</v>
      </c>
      <c r="K58" s="353">
        <f>1331488.84/3.4528</f>
        <v>385625.82252085267</v>
      </c>
      <c r="L58" s="341">
        <v>41995</v>
      </c>
      <c r="M58" s="341">
        <v>42361</v>
      </c>
      <c r="N58" s="44" t="s">
        <v>68</v>
      </c>
      <c r="O58" s="42" t="s">
        <v>167</v>
      </c>
      <c r="P58" s="305">
        <v>41956</v>
      </c>
      <c r="Q58" s="127">
        <v>1881.01</v>
      </c>
      <c r="R58" s="306">
        <f>Q58/3.4528</f>
        <v>544.77815106580169</v>
      </c>
      <c r="S58" s="304">
        <v>42034</v>
      </c>
    </row>
    <row r="59" spans="1:19" x14ac:dyDescent="0.25">
      <c r="A59" s="42">
        <v>2</v>
      </c>
      <c r="B59" s="73" t="s">
        <v>79</v>
      </c>
      <c r="C59" s="146">
        <v>45</v>
      </c>
      <c r="D59" s="73">
        <v>4</v>
      </c>
      <c r="E59" s="146" t="s">
        <v>161</v>
      </c>
      <c r="F59" s="75">
        <v>42327</v>
      </c>
      <c r="G59" s="188">
        <f>36/C59</f>
        <v>0.8</v>
      </c>
      <c r="H59" s="74" t="s">
        <v>68</v>
      </c>
      <c r="I59" s="146" t="s">
        <v>384</v>
      </c>
      <c r="J59" s="147">
        <f t="shared" ref="J59:J64" si="4">K59*3.4528</f>
        <v>933423.73696000001</v>
      </c>
      <c r="K59" s="189">
        <v>270338.2</v>
      </c>
      <c r="L59" s="140">
        <v>42269</v>
      </c>
      <c r="M59" s="140">
        <v>42737</v>
      </c>
      <c r="N59" s="73" t="s">
        <v>68</v>
      </c>
      <c r="O59" s="73" t="s">
        <v>167</v>
      </c>
      <c r="P59" s="148">
        <v>41956</v>
      </c>
      <c r="Q59" s="85">
        <v>1881.01</v>
      </c>
      <c r="R59" s="112">
        <f>Q59/3.4528</f>
        <v>544.77815106580169</v>
      </c>
      <c r="S59" s="150">
        <v>42037</v>
      </c>
    </row>
    <row r="60" spans="1:19" x14ac:dyDescent="0.25">
      <c r="A60" s="42">
        <v>3</v>
      </c>
      <c r="B60" s="73" t="s">
        <v>87</v>
      </c>
      <c r="C60" s="146">
        <v>45</v>
      </c>
      <c r="D60" s="73">
        <v>1</v>
      </c>
      <c r="E60" s="192" t="s">
        <v>204</v>
      </c>
      <c r="F60" s="75">
        <v>41969</v>
      </c>
      <c r="G60" s="188">
        <f>25/C60</f>
        <v>0.55555555555555558</v>
      </c>
      <c r="H60" s="74" t="s">
        <v>68</v>
      </c>
      <c r="I60" s="146" t="s">
        <v>96</v>
      </c>
      <c r="J60" s="147">
        <f t="shared" si="4"/>
        <v>1096706.1310399999</v>
      </c>
      <c r="K60" s="189">
        <v>317628.05</v>
      </c>
      <c r="L60" s="190">
        <v>42087</v>
      </c>
      <c r="M60" s="190">
        <v>42607</v>
      </c>
      <c r="N60" s="102" t="s">
        <v>68</v>
      </c>
      <c r="O60" s="73" t="s">
        <v>167</v>
      </c>
      <c r="P60" s="148">
        <v>41991</v>
      </c>
      <c r="Q60" s="85">
        <v>1879.11</v>
      </c>
      <c r="R60" s="112">
        <f>Q60/3.4528</f>
        <v>544.22787303058385</v>
      </c>
      <c r="S60" s="150">
        <v>42132</v>
      </c>
    </row>
    <row r="61" spans="1:19" x14ac:dyDescent="0.25">
      <c r="A61" s="42">
        <v>4</v>
      </c>
      <c r="B61" s="73" t="s">
        <v>80</v>
      </c>
      <c r="C61" s="146">
        <v>30</v>
      </c>
      <c r="D61" s="73">
        <v>0</v>
      </c>
      <c r="E61" s="192" t="s">
        <v>196</v>
      </c>
      <c r="F61" s="75">
        <v>41905</v>
      </c>
      <c r="G61" s="188">
        <f>20/C61</f>
        <v>0.66666666666666663</v>
      </c>
      <c r="H61" s="74" t="s">
        <v>68</v>
      </c>
      <c r="I61" s="146" t="s">
        <v>382</v>
      </c>
      <c r="J61" s="147">
        <f t="shared" si="4"/>
        <v>668712.75327999995</v>
      </c>
      <c r="K61" s="189">
        <v>193672.6</v>
      </c>
      <c r="L61" s="140">
        <v>42264</v>
      </c>
      <c r="M61" s="140">
        <v>42720</v>
      </c>
      <c r="N61" s="73" t="s">
        <v>68</v>
      </c>
      <c r="O61" s="73" t="s">
        <v>167</v>
      </c>
      <c r="P61" s="148">
        <v>41956</v>
      </c>
      <c r="Q61" s="85">
        <v>1880.99</v>
      </c>
      <c r="R61" s="112">
        <f>Q61/3.4528</f>
        <v>544.77235866543094</v>
      </c>
      <c r="S61" s="150">
        <v>42034</v>
      </c>
    </row>
    <row r="62" spans="1:19" x14ac:dyDescent="0.25">
      <c r="A62" s="42">
        <v>5</v>
      </c>
      <c r="B62" s="42" t="s">
        <v>81</v>
      </c>
      <c r="C62" s="279">
        <v>75</v>
      </c>
      <c r="D62" s="42">
        <v>1</v>
      </c>
      <c r="E62" s="351" t="s">
        <v>200</v>
      </c>
      <c r="F62" s="300">
        <v>41906</v>
      </c>
      <c r="G62" s="352">
        <f>46/C62</f>
        <v>0.61333333333333329</v>
      </c>
      <c r="H62" s="280" t="s">
        <v>68</v>
      </c>
      <c r="I62" s="279" t="s">
        <v>96</v>
      </c>
      <c r="J62" s="299">
        <f t="shared" si="4"/>
        <v>2011245.0891519999</v>
      </c>
      <c r="K62" s="353">
        <v>582496.84</v>
      </c>
      <c r="L62" s="341">
        <v>42026</v>
      </c>
      <c r="M62" s="341">
        <v>42573</v>
      </c>
      <c r="N62" s="42" t="s">
        <v>68</v>
      </c>
      <c r="O62" s="73" t="s">
        <v>167</v>
      </c>
      <c r="P62" s="148">
        <v>41956</v>
      </c>
      <c r="Q62" s="85">
        <v>1880.99</v>
      </c>
      <c r="R62" s="85">
        <v>544.77</v>
      </c>
      <c r="S62" s="150">
        <v>42034</v>
      </c>
    </row>
    <row r="63" spans="1:19" x14ac:dyDescent="0.25">
      <c r="A63" s="42">
        <v>6</v>
      </c>
      <c r="B63" s="73" t="s">
        <v>82</v>
      </c>
      <c r="C63" s="146">
        <v>45</v>
      </c>
      <c r="D63" s="73">
        <v>0</v>
      </c>
      <c r="E63" s="146" t="s">
        <v>164</v>
      </c>
      <c r="F63" s="75">
        <v>42431</v>
      </c>
      <c r="G63" s="188">
        <f>31/45</f>
        <v>0.68888888888888888</v>
      </c>
      <c r="H63" s="74" t="s">
        <v>68</v>
      </c>
      <c r="I63" s="146" t="s">
        <v>96</v>
      </c>
      <c r="J63" s="147">
        <f t="shared" si="4"/>
        <v>956995.38105600001</v>
      </c>
      <c r="K63" s="189">
        <v>277165.02</v>
      </c>
      <c r="L63" s="140">
        <v>42513</v>
      </c>
      <c r="M63" s="140">
        <v>42948</v>
      </c>
      <c r="N63" s="73" t="s">
        <v>68</v>
      </c>
      <c r="O63" s="73" t="s">
        <v>167</v>
      </c>
      <c r="P63" s="148">
        <v>42464</v>
      </c>
      <c r="Q63" s="149">
        <f>R63*3.4528</f>
        <v>1880.9818559999999</v>
      </c>
      <c r="R63" s="47">
        <v>544.77</v>
      </c>
      <c r="S63" s="150">
        <v>42515</v>
      </c>
    </row>
    <row r="64" spans="1:19" x14ac:dyDescent="0.25">
      <c r="A64" s="42">
        <v>7</v>
      </c>
      <c r="B64" s="42" t="s">
        <v>83</v>
      </c>
      <c r="C64" s="279">
        <v>45</v>
      </c>
      <c r="D64" s="42">
        <v>3</v>
      </c>
      <c r="E64" s="279" t="s">
        <v>162</v>
      </c>
      <c r="F64" s="300">
        <v>41857</v>
      </c>
      <c r="G64" s="352">
        <f>29/C64</f>
        <v>0.64444444444444449</v>
      </c>
      <c r="H64" s="280" t="s">
        <v>68</v>
      </c>
      <c r="I64" s="279" t="s">
        <v>174</v>
      </c>
      <c r="J64" s="299">
        <f t="shared" si="4"/>
        <v>1100517.5388479999</v>
      </c>
      <c r="K64" s="353">
        <v>318731.90999999997</v>
      </c>
      <c r="L64" s="341">
        <v>42046</v>
      </c>
      <c r="M64" s="341">
        <v>42647</v>
      </c>
      <c r="N64" s="42" t="s">
        <v>68</v>
      </c>
      <c r="O64" s="42" t="s">
        <v>167</v>
      </c>
      <c r="P64" s="305">
        <v>41956</v>
      </c>
      <c r="Q64" s="127">
        <v>1881.01</v>
      </c>
      <c r="R64" s="127">
        <v>544.78</v>
      </c>
      <c r="S64" s="304">
        <v>42135</v>
      </c>
    </row>
    <row r="65" spans="1:19" x14ac:dyDescent="0.25">
      <c r="A65" s="42">
        <v>8</v>
      </c>
      <c r="B65" s="73" t="s">
        <v>85</v>
      </c>
      <c r="C65" s="146">
        <v>45</v>
      </c>
      <c r="D65" s="73">
        <v>0</v>
      </c>
      <c r="E65" s="146" t="s">
        <v>160</v>
      </c>
      <c r="F65" s="194">
        <v>42039</v>
      </c>
      <c r="G65" s="188">
        <f>27/C65</f>
        <v>0.6</v>
      </c>
      <c r="H65" s="166" t="s">
        <v>68</v>
      </c>
      <c r="I65" s="146" t="s">
        <v>235</v>
      </c>
      <c r="J65" s="147">
        <f t="shared" ref="J65:J74" si="5">K65*3.4528</f>
        <v>1359735.4284799998</v>
      </c>
      <c r="K65" s="189">
        <v>393806.6</v>
      </c>
      <c r="L65" s="191">
        <v>42136</v>
      </c>
      <c r="M65" s="191">
        <v>42669</v>
      </c>
      <c r="N65" s="77" t="s">
        <v>68</v>
      </c>
      <c r="O65" s="73" t="s">
        <v>167</v>
      </c>
      <c r="P65" s="148">
        <v>42270</v>
      </c>
      <c r="Q65" s="149">
        <f>R65*3.4528</f>
        <v>1880.9818559999999</v>
      </c>
      <c r="R65" s="162">
        <v>544.77</v>
      </c>
      <c r="S65" s="150">
        <v>42346</v>
      </c>
    </row>
    <row r="66" spans="1:19" x14ac:dyDescent="0.25">
      <c r="A66" s="42">
        <v>9</v>
      </c>
      <c r="B66" s="73" t="s">
        <v>86</v>
      </c>
      <c r="C66" s="146">
        <v>60</v>
      </c>
      <c r="D66" s="73">
        <v>4</v>
      </c>
      <c r="E66" s="192" t="s">
        <v>207</v>
      </c>
      <c r="F66" s="194">
        <v>42046</v>
      </c>
      <c r="G66" s="188">
        <f>35/C66</f>
        <v>0.58333333333333337</v>
      </c>
      <c r="H66" s="166" t="s">
        <v>68</v>
      </c>
      <c r="I66" s="146" t="s">
        <v>235</v>
      </c>
      <c r="J66" s="147">
        <f t="shared" si="5"/>
        <v>1571533.4606399999</v>
      </c>
      <c r="K66" s="189">
        <v>455147.55</v>
      </c>
      <c r="L66" s="191">
        <v>42209</v>
      </c>
      <c r="M66" s="191">
        <v>42717</v>
      </c>
      <c r="N66" s="77" t="s">
        <v>68</v>
      </c>
      <c r="O66" s="73" t="s">
        <v>167</v>
      </c>
      <c r="P66" s="148">
        <v>42270</v>
      </c>
      <c r="Q66" s="149">
        <f>R66*3.4528</f>
        <v>1879.0828160000001</v>
      </c>
      <c r="R66" s="162">
        <v>544.22</v>
      </c>
      <c r="S66" s="150">
        <v>42346</v>
      </c>
    </row>
    <row r="67" spans="1:19" x14ac:dyDescent="0.25">
      <c r="A67" s="42">
        <v>10</v>
      </c>
      <c r="B67" s="73" t="s">
        <v>88</v>
      </c>
      <c r="C67" s="146">
        <v>40</v>
      </c>
      <c r="D67" s="73">
        <v>7</v>
      </c>
      <c r="E67" s="192" t="s">
        <v>201</v>
      </c>
      <c r="F67" s="194">
        <v>41907</v>
      </c>
      <c r="G67" s="188">
        <f>24/C67</f>
        <v>0.6</v>
      </c>
      <c r="H67" s="166" t="s">
        <v>68</v>
      </c>
      <c r="I67" s="146" t="s">
        <v>230</v>
      </c>
      <c r="J67" s="147">
        <f t="shared" si="5"/>
        <v>1397231.9042239999</v>
      </c>
      <c r="K67" s="189">
        <v>404666.33</v>
      </c>
      <c r="L67" s="191">
        <v>42090</v>
      </c>
      <c r="M67" s="191">
        <v>42585</v>
      </c>
      <c r="N67" s="77" t="s">
        <v>68</v>
      </c>
      <c r="O67" s="73" t="s">
        <v>167</v>
      </c>
      <c r="P67" s="148">
        <v>41956</v>
      </c>
      <c r="Q67" s="85">
        <v>1880.99</v>
      </c>
      <c r="R67" s="112">
        <f>Q67/3.4528</f>
        <v>544.77235866543094</v>
      </c>
      <c r="S67" s="150">
        <v>42034</v>
      </c>
    </row>
    <row r="68" spans="1:19" x14ac:dyDescent="0.25">
      <c r="A68" s="42">
        <v>11</v>
      </c>
      <c r="B68" s="73" t="s">
        <v>92</v>
      </c>
      <c r="C68" s="146">
        <v>30</v>
      </c>
      <c r="D68" s="73">
        <v>1</v>
      </c>
      <c r="E68" s="195" t="s">
        <v>173</v>
      </c>
      <c r="F68" s="130">
        <v>42620</v>
      </c>
      <c r="G68" s="188">
        <f>18/C68</f>
        <v>0.6</v>
      </c>
      <c r="H68" s="73" t="s">
        <v>68</v>
      </c>
      <c r="I68" s="1" t="s">
        <v>78</v>
      </c>
      <c r="J68" s="147">
        <f t="shared" si="5"/>
        <v>717153.69348479994</v>
      </c>
      <c r="K68" s="451">
        <v>207702.06599999999</v>
      </c>
      <c r="L68" s="140">
        <v>42741</v>
      </c>
      <c r="M68" s="483">
        <v>43189</v>
      </c>
      <c r="N68" s="73"/>
      <c r="O68" s="73" t="s">
        <v>167</v>
      </c>
      <c r="P68" s="148">
        <v>42678</v>
      </c>
      <c r="Q68" s="85"/>
      <c r="R68" s="162">
        <v>544.77</v>
      </c>
      <c r="S68" s="150">
        <v>42725</v>
      </c>
    </row>
    <row r="69" spans="1:19" x14ac:dyDescent="0.25">
      <c r="A69" s="42">
        <v>12</v>
      </c>
      <c r="B69" s="73" t="s">
        <v>93</v>
      </c>
      <c r="C69" s="146">
        <v>40</v>
      </c>
      <c r="D69" s="73">
        <v>0</v>
      </c>
      <c r="E69" s="195" t="s">
        <v>208</v>
      </c>
      <c r="F69" s="130">
        <v>41942</v>
      </c>
      <c r="G69" s="188">
        <f>23/C69</f>
        <v>0.57499999999999996</v>
      </c>
      <c r="H69" s="73" t="s">
        <v>68</v>
      </c>
      <c r="I69" s="275" t="s">
        <v>1054</v>
      </c>
      <c r="J69" s="147">
        <f t="shared" si="5"/>
        <v>755061.34246399999</v>
      </c>
      <c r="K69" s="189">
        <v>218680.88</v>
      </c>
      <c r="L69" s="140">
        <v>42543</v>
      </c>
      <c r="M69" s="140">
        <v>42747</v>
      </c>
      <c r="N69" s="73" t="s">
        <v>68</v>
      </c>
      <c r="O69" s="73" t="s">
        <v>167</v>
      </c>
      <c r="P69" s="148">
        <v>42270</v>
      </c>
      <c r="Q69" s="149">
        <f>R69*3.4528</f>
        <v>1879.0828160000001</v>
      </c>
      <c r="R69" s="162">
        <v>544.22</v>
      </c>
      <c r="S69" s="150">
        <v>42346</v>
      </c>
    </row>
    <row r="70" spans="1:19" x14ac:dyDescent="0.25">
      <c r="A70" s="42">
        <v>13</v>
      </c>
      <c r="B70" s="42" t="s">
        <v>488</v>
      </c>
      <c r="C70" s="279">
        <v>60</v>
      </c>
      <c r="D70" s="42">
        <v>2</v>
      </c>
      <c r="E70" s="398" t="s">
        <v>211</v>
      </c>
      <c r="F70" s="297">
        <v>41942</v>
      </c>
      <c r="G70" s="352">
        <f>36/C70</f>
        <v>0.6</v>
      </c>
      <c r="H70" s="42" t="s">
        <v>68</v>
      </c>
      <c r="I70" s="279" t="s">
        <v>228</v>
      </c>
      <c r="J70" s="299">
        <f t="shared" si="5"/>
        <v>1544917.1029759999</v>
      </c>
      <c r="K70" s="353">
        <v>447438.92</v>
      </c>
      <c r="L70" s="341">
        <v>42027</v>
      </c>
      <c r="M70" s="341">
        <v>42584</v>
      </c>
      <c r="N70" s="42" t="s">
        <v>68</v>
      </c>
      <c r="O70" s="42" t="s">
        <v>167</v>
      </c>
      <c r="P70" s="305">
        <v>41975</v>
      </c>
      <c r="Q70" s="127">
        <v>1878.62</v>
      </c>
      <c r="R70" s="306">
        <f>Q70/3.4528</f>
        <v>544.08595922150141</v>
      </c>
      <c r="S70" s="304">
        <v>42040</v>
      </c>
    </row>
    <row r="71" spans="1:19" x14ac:dyDescent="0.25">
      <c r="A71" s="42">
        <v>14</v>
      </c>
      <c r="B71" s="73" t="s">
        <v>477</v>
      </c>
      <c r="C71" s="146">
        <v>45</v>
      </c>
      <c r="D71" s="73">
        <v>0</v>
      </c>
      <c r="E71" s="73" t="s">
        <v>159</v>
      </c>
      <c r="F71" s="130">
        <v>41940</v>
      </c>
      <c r="G71" s="188">
        <f>26/C71</f>
        <v>0.57777777777777772</v>
      </c>
      <c r="H71" s="73" t="s">
        <v>68</v>
      </c>
      <c r="I71" s="146" t="s">
        <v>384</v>
      </c>
      <c r="J71" s="147">
        <f t="shared" si="5"/>
        <v>940179.38185600005</v>
      </c>
      <c r="K71" s="189">
        <v>272294.77</v>
      </c>
      <c r="L71" s="140">
        <v>42270</v>
      </c>
      <c r="M71" s="140">
        <v>42737</v>
      </c>
      <c r="N71" s="73" t="s">
        <v>68</v>
      </c>
      <c r="O71" s="73" t="s">
        <v>167</v>
      </c>
      <c r="P71" s="148">
        <v>42037</v>
      </c>
      <c r="Q71" s="85">
        <v>2473.64</v>
      </c>
      <c r="R71" s="112">
        <f>Q71/3.4528</f>
        <v>716.41566265060237</v>
      </c>
      <c r="S71" s="150">
        <v>42117</v>
      </c>
    </row>
    <row r="72" spans="1:19" x14ac:dyDescent="0.25">
      <c r="A72" s="42">
        <v>15</v>
      </c>
      <c r="B72" s="73" t="s">
        <v>489</v>
      </c>
      <c r="C72" s="146">
        <v>45</v>
      </c>
      <c r="D72" s="73">
        <v>1</v>
      </c>
      <c r="E72" s="192" t="s">
        <v>210</v>
      </c>
      <c r="F72" s="75">
        <v>41940</v>
      </c>
      <c r="G72" s="188">
        <f>28/C72</f>
        <v>0.62222222222222223</v>
      </c>
      <c r="H72" s="74" t="s">
        <v>68</v>
      </c>
      <c r="I72" s="146" t="s">
        <v>227</v>
      </c>
      <c r="J72" s="147">
        <f t="shared" si="5"/>
        <v>1108100.2329279999</v>
      </c>
      <c r="K72" s="189">
        <v>320928.01</v>
      </c>
      <c r="L72" s="140">
        <v>42076</v>
      </c>
      <c r="M72" s="140">
        <v>42720</v>
      </c>
      <c r="N72" s="73" t="s">
        <v>68</v>
      </c>
      <c r="O72" s="73" t="s">
        <v>167</v>
      </c>
      <c r="P72" s="148">
        <v>41975</v>
      </c>
      <c r="Q72" s="85">
        <v>1879.35</v>
      </c>
      <c r="R72" s="112">
        <f>Q72/3.4528</f>
        <v>544.29738183503241</v>
      </c>
      <c r="S72" s="150">
        <v>42040</v>
      </c>
    </row>
    <row r="73" spans="1:19" x14ac:dyDescent="0.25">
      <c r="A73" s="42">
        <v>16</v>
      </c>
      <c r="B73" s="73" t="s">
        <v>490</v>
      </c>
      <c r="C73" s="146">
        <v>40</v>
      </c>
      <c r="D73" s="73">
        <v>1</v>
      </c>
      <c r="E73" s="192" t="s">
        <v>209</v>
      </c>
      <c r="F73" s="75">
        <v>42620</v>
      </c>
      <c r="G73" s="188">
        <f>24/C73</f>
        <v>0.6</v>
      </c>
      <c r="H73" s="89" t="s">
        <v>68</v>
      </c>
      <c r="I73" s="275" t="s">
        <v>1054</v>
      </c>
      <c r="J73" s="147">
        <f t="shared" si="5"/>
        <v>757593.14259200008</v>
      </c>
      <c r="K73" s="451">
        <v>219414.14</v>
      </c>
      <c r="L73" s="140">
        <v>42712</v>
      </c>
      <c r="M73" s="140">
        <v>43082</v>
      </c>
      <c r="N73" s="387" t="s">
        <v>68</v>
      </c>
      <c r="O73" s="73" t="s">
        <v>167</v>
      </c>
      <c r="P73" s="148">
        <v>42678</v>
      </c>
      <c r="Q73" s="85">
        <v>1879.35</v>
      </c>
      <c r="R73" s="162">
        <v>544.29</v>
      </c>
      <c r="S73" s="150">
        <v>42725</v>
      </c>
    </row>
    <row r="74" spans="1:19" ht="15.75" thickBot="1" x14ac:dyDescent="0.3">
      <c r="A74" s="43">
        <v>17</v>
      </c>
      <c r="B74" s="43" t="s">
        <v>1033</v>
      </c>
      <c r="C74" s="282">
        <v>75</v>
      </c>
      <c r="D74" s="43">
        <v>2</v>
      </c>
      <c r="E74" s="455" t="s">
        <v>199</v>
      </c>
      <c r="F74" s="315">
        <v>41906</v>
      </c>
      <c r="G74" s="456">
        <f>45/C74</f>
        <v>0.6</v>
      </c>
      <c r="H74" s="283" t="s">
        <v>68</v>
      </c>
      <c r="I74" s="282" t="s">
        <v>96</v>
      </c>
      <c r="J74" s="457">
        <f t="shared" si="5"/>
        <v>1987426.5698559999</v>
      </c>
      <c r="K74" s="458">
        <v>575598.52</v>
      </c>
      <c r="L74" s="312">
        <v>42026</v>
      </c>
      <c r="M74" s="312">
        <v>42573</v>
      </c>
      <c r="N74" s="43" t="s">
        <v>68</v>
      </c>
      <c r="O74" s="169" t="s">
        <v>167</v>
      </c>
      <c r="P74" s="174">
        <v>41956</v>
      </c>
      <c r="Q74" s="187">
        <v>1880.99</v>
      </c>
      <c r="R74" s="175">
        <f>Q74/3.4528</f>
        <v>544.77235866543094</v>
      </c>
      <c r="S74" s="176">
        <v>42034</v>
      </c>
    </row>
    <row r="75" spans="1:19" x14ac:dyDescent="0.25">
      <c r="A75" s="47"/>
      <c r="B75" s="47" t="s">
        <v>110</v>
      </c>
      <c r="C75" s="2">
        <f>SUM(C58:C74)</f>
        <v>813</v>
      </c>
      <c r="D75" s="2">
        <f>SUM(D58:D74)</f>
        <v>27</v>
      </c>
      <c r="E75" s="65"/>
      <c r="F75" s="64"/>
      <c r="G75" s="1">
        <f>COUNTIF(G58:G74,"&gt;0,5")</f>
        <v>17</v>
      </c>
      <c r="H75" s="1">
        <f>COUNTIF(H58:H74,"Taip")</f>
        <v>17</v>
      </c>
      <c r="I75" s="1">
        <f>COUNTA(I58:I74)</f>
        <v>17</v>
      </c>
      <c r="J75" s="52">
        <f>SUM(J58:J74)</f>
        <v>20238021.729836799</v>
      </c>
      <c r="K75" s="52">
        <f>SUM(K58:K74)</f>
        <v>5861336.2285208534</v>
      </c>
      <c r="L75" s="1">
        <f>COUNTA(L58:L74)</f>
        <v>17</v>
      </c>
      <c r="M75" s="1">
        <f>COUNTA(M58:M74)</f>
        <v>17</v>
      </c>
      <c r="N75" s="1">
        <f>COUNTA(N58:N74)</f>
        <v>16</v>
      </c>
      <c r="O75" s="1"/>
      <c r="P75" s="1"/>
      <c r="Q75" s="1"/>
      <c r="R75" s="1"/>
      <c r="S75" s="1"/>
    </row>
    <row r="76" spans="1:19" ht="16.5" thickBot="1" x14ac:dyDescent="0.3">
      <c r="B76" s="100" t="s">
        <v>234</v>
      </c>
      <c r="P76" s="1"/>
      <c r="Q76" s="1"/>
      <c r="R76" s="1"/>
      <c r="S76" s="1"/>
    </row>
    <row r="77" spans="1:19" ht="45.75" customHeight="1" thickBot="1" x14ac:dyDescent="0.3">
      <c r="A77" s="36" t="s">
        <v>0</v>
      </c>
      <c r="B77" s="37" t="s">
        <v>1</v>
      </c>
      <c r="C77" s="53" t="s">
        <v>94</v>
      </c>
      <c r="D77" s="53" t="s">
        <v>95</v>
      </c>
      <c r="E77" s="53" t="s">
        <v>102</v>
      </c>
      <c r="F77" s="53" t="s">
        <v>2</v>
      </c>
      <c r="G77" s="53" t="s">
        <v>69</v>
      </c>
      <c r="H77" s="53" t="s">
        <v>3</v>
      </c>
      <c r="I77" s="53" t="s">
        <v>73</v>
      </c>
      <c r="J77" s="53" t="s">
        <v>226</v>
      </c>
      <c r="K77" s="53" t="s">
        <v>225</v>
      </c>
      <c r="L77" s="53" t="s">
        <v>108</v>
      </c>
      <c r="M77" s="53" t="s">
        <v>243</v>
      </c>
      <c r="N77" s="422" t="s">
        <v>389</v>
      </c>
      <c r="O77" s="53" t="s">
        <v>109</v>
      </c>
      <c r="P77" s="53" t="s">
        <v>170</v>
      </c>
      <c r="Q77" s="53" t="s">
        <v>223</v>
      </c>
      <c r="R77" s="53" t="s">
        <v>247</v>
      </c>
      <c r="S77" s="53" t="s">
        <v>1124</v>
      </c>
    </row>
    <row r="78" spans="1:19" x14ac:dyDescent="0.25">
      <c r="A78" s="41">
        <v>1</v>
      </c>
      <c r="B78" s="126" t="s">
        <v>103</v>
      </c>
      <c r="C78" s="155">
        <v>45</v>
      </c>
      <c r="D78" s="155">
        <v>0</v>
      </c>
      <c r="E78" s="103" t="s">
        <v>213</v>
      </c>
      <c r="F78" s="238">
        <v>42170</v>
      </c>
      <c r="G78" s="198">
        <f>29/C78</f>
        <v>0.64444444444444449</v>
      </c>
      <c r="H78" s="50" t="s">
        <v>68</v>
      </c>
      <c r="I78" s="103" t="s">
        <v>228</v>
      </c>
      <c r="J78" s="329">
        <f>K78*3.4528</f>
        <v>1518373.2886399999</v>
      </c>
      <c r="K78" s="473">
        <v>439751.3</v>
      </c>
      <c r="L78" s="238">
        <v>42436</v>
      </c>
      <c r="M78" s="466">
        <v>42870</v>
      </c>
      <c r="N78" s="126" t="s">
        <v>68</v>
      </c>
      <c r="O78" s="9" t="s">
        <v>167</v>
      </c>
      <c r="P78" s="408">
        <v>42271</v>
      </c>
      <c r="Q78" s="59">
        <f>R78*3.4528</f>
        <v>2002.209664</v>
      </c>
      <c r="R78" s="59">
        <v>579.88</v>
      </c>
      <c r="S78" s="288">
        <v>42346</v>
      </c>
    </row>
    <row r="79" spans="1:19" x14ac:dyDescent="0.25">
      <c r="A79" s="44">
        <v>2</v>
      </c>
      <c r="B79" s="73" t="s">
        <v>105</v>
      </c>
      <c r="C79" s="146">
        <v>54</v>
      </c>
      <c r="D79" s="146">
        <v>0</v>
      </c>
      <c r="E79" s="73" t="s">
        <v>216</v>
      </c>
      <c r="F79" s="130">
        <v>42627</v>
      </c>
      <c r="G79" s="188">
        <f>34/C79</f>
        <v>0.62962962962962965</v>
      </c>
      <c r="H79" s="166" t="s">
        <v>68</v>
      </c>
      <c r="I79" s="154" t="s">
        <v>228</v>
      </c>
      <c r="J79" s="147">
        <f>K79*3.4528</f>
        <v>1301705.5999999999</v>
      </c>
      <c r="K79" s="474">
        <v>377000</v>
      </c>
      <c r="L79" s="75">
        <v>42718</v>
      </c>
      <c r="M79" s="140">
        <v>43082</v>
      </c>
      <c r="N79" s="494" t="s">
        <v>68</v>
      </c>
      <c r="O79" s="115" t="s">
        <v>167</v>
      </c>
      <c r="P79" s="76">
        <v>42678</v>
      </c>
      <c r="Q79" s="423">
        <f>3.4528*R79</f>
        <v>2002.209664</v>
      </c>
      <c r="R79" s="109">
        <v>579.88</v>
      </c>
      <c r="S79" s="272">
        <v>42725</v>
      </c>
    </row>
    <row r="80" spans="1:19" x14ac:dyDescent="0.25">
      <c r="A80" s="42">
        <v>3</v>
      </c>
      <c r="B80" s="129" t="s">
        <v>218</v>
      </c>
      <c r="C80" s="154">
        <v>60</v>
      </c>
      <c r="D80" s="154">
        <v>3</v>
      </c>
      <c r="E80" s="102" t="s">
        <v>237</v>
      </c>
      <c r="F80" s="144">
        <v>42332</v>
      </c>
      <c r="G80" s="201">
        <f>38/C80</f>
        <v>0.6333333333333333</v>
      </c>
      <c r="H80" s="8" t="s">
        <v>68</v>
      </c>
      <c r="I80" s="275" t="s">
        <v>1054</v>
      </c>
      <c r="J80" s="147">
        <f>K80*3.4528</f>
        <v>1030400.8732159999</v>
      </c>
      <c r="K80" s="474">
        <v>298424.71999999997</v>
      </c>
      <c r="L80" s="335">
        <v>42433</v>
      </c>
      <c r="M80" s="190">
        <v>42949</v>
      </c>
      <c r="N80" s="129" t="s">
        <v>68</v>
      </c>
      <c r="O80" s="115" t="s">
        <v>167</v>
      </c>
      <c r="P80" s="142">
        <v>42271</v>
      </c>
      <c r="Q80" s="61">
        <f>3.4528*R80</f>
        <v>1984.358688</v>
      </c>
      <c r="R80" s="116">
        <v>574.71</v>
      </c>
      <c r="S80" s="289">
        <v>42346</v>
      </c>
    </row>
    <row r="81" spans="1:20" x14ac:dyDescent="0.25">
      <c r="A81" s="44">
        <v>4</v>
      </c>
      <c r="B81" s="129" t="s">
        <v>220</v>
      </c>
      <c r="C81" s="146">
        <v>5</v>
      </c>
      <c r="D81" s="146">
        <v>5</v>
      </c>
      <c r="E81" s="73" t="s">
        <v>238</v>
      </c>
      <c r="F81" s="130">
        <v>42628</v>
      </c>
      <c r="G81" s="201">
        <f>5/C81</f>
        <v>1</v>
      </c>
      <c r="H81" s="5" t="s">
        <v>68</v>
      </c>
      <c r="I81" s="275" t="s">
        <v>96</v>
      </c>
      <c r="J81" s="460">
        <v>339520.25</v>
      </c>
      <c r="K81" s="475">
        <v>98331.86</v>
      </c>
      <c r="L81" s="311">
        <v>42789</v>
      </c>
      <c r="M81" s="483">
        <v>43164</v>
      </c>
      <c r="N81" s="89"/>
      <c r="O81" s="115" t="s">
        <v>167</v>
      </c>
      <c r="P81" s="76">
        <v>42681</v>
      </c>
      <c r="Q81" s="423">
        <f>3.4528*R81</f>
        <v>1984.358688</v>
      </c>
      <c r="R81" s="109">
        <v>574.71</v>
      </c>
      <c r="S81" s="272">
        <v>42725</v>
      </c>
    </row>
    <row r="82" spans="1:20" x14ac:dyDescent="0.25">
      <c r="A82" s="42">
        <v>5</v>
      </c>
      <c r="B82" s="199" t="s">
        <v>221</v>
      </c>
      <c r="C82" s="200">
        <v>5</v>
      </c>
      <c r="D82" s="200">
        <v>5</v>
      </c>
      <c r="E82" s="77" t="s">
        <v>240</v>
      </c>
      <c r="F82" s="164">
        <v>42180</v>
      </c>
      <c r="G82" s="201">
        <f>5/C82</f>
        <v>1</v>
      </c>
      <c r="H82" s="8" t="s">
        <v>68</v>
      </c>
      <c r="I82" s="146" t="s">
        <v>1095</v>
      </c>
      <c r="J82" s="147">
        <f>K82*3.4528</f>
        <v>362970.89866751997</v>
      </c>
      <c r="K82" s="474">
        <v>105123.6384</v>
      </c>
      <c r="L82" s="339">
        <v>42524</v>
      </c>
      <c r="M82" s="191">
        <v>43098</v>
      </c>
      <c r="N82" s="246" t="s">
        <v>68</v>
      </c>
      <c r="O82" s="115" t="s">
        <v>167</v>
      </c>
      <c r="P82" s="141">
        <v>42271</v>
      </c>
      <c r="Q82" s="424">
        <f>3.4528*R82</f>
        <v>1984.358688</v>
      </c>
      <c r="R82" s="111">
        <v>574.71</v>
      </c>
      <c r="S82" s="273">
        <v>42317</v>
      </c>
    </row>
    <row r="83" spans="1:20" x14ac:dyDescent="0.25">
      <c r="A83" s="44">
        <v>6</v>
      </c>
      <c r="B83" s="73" t="s">
        <v>217</v>
      </c>
      <c r="C83" s="146">
        <v>60</v>
      </c>
      <c r="D83" s="146">
        <v>2</v>
      </c>
      <c r="E83" s="73" t="s">
        <v>236</v>
      </c>
      <c r="F83" s="130">
        <v>42156</v>
      </c>
      <c r="G83" s="188">
        <f>34/C83</f>
        <v>0.56666666666666665</v>
      </c>
      <c r="H83" s="3" t="s">
        <v>68</v>
      </c>
      <c r="I83" s="275" t="s">
        <v>1054</v>
      </c>
      <c r="J83" s="147">
        <f>K83*3.4528</f>
        <v>1173798.5230399999</v>
      </c>
      <c r="K83" s="474">
        <v>339955.55</v>
      </c>
      <c r="L83" s="311">
        <v>42424</v>
      </c>
      <c r="M83" s="140">
        <v>42949</v>
      </c>
      <c r="N83" s="89" t="s">
        <v>68</v>
      </c>
      <c r="O83" s="115" t="s">
        <v>167</v>
      </c>
      <c r="P83" s="76">
        <v>42271</v>
      </c>
      <c r="Q83" s="61">
        <f>3.4528*R83</f>
        <v>1984.358688</v>
      </c>
      <c r="R83" s="109">
        <v>574.71</v>
      </c>
      <c r="S83" s="272">
        <v>42317</v>
      </c>
    </row>
    <row r="84" spans="1:20" x14ac:dyDescent="0.25">
      <c r="A84" s="42">
        <v>7</v>
      </c>
      <c r="B84" s="89" t="s">
        <v>482</v>
      </c>
      <c r="C84" s="115">
        <v>60</v>
      </c>
      <c r="D84" s="128">
        <v>0</v>
      </c>
      <c r="E84" s="3" t="s">
        <v>1141</v>
      </c>
      <c r="F84" s="311">
        <v>42844</v>
      </c>
      <c r="G84" s="188">
        <f>44/C84</f>
        <v>0.73333333333333328</v>
      </c>
      <c r="H84" s="5" t="s">
        <v>68</v>
      </c>
      <c r="I84" s="275" t="s">
        <v>235</v>
      </c>
      <c r="J84" s="3">
        <f>K84*3.4528</f>
        <v>1498587.5361599999</v>
      </c>
      <c r="K84" s="476">
        <v>434020.95</v>
      </c>
      <c r="L84" s="311">
        <v>42927</v>
      </c>
      <c r="M84" s="73"/>
      <c r="N84" s="375"/>
      <c r="O84" s="115" t="s">
        <v>381</v>
      </c>
      <c r="P84" s="137"/>
      <c r="Q84" s="127"/>
      <c r="R84" s="138"/>
      <c r="S84" s="139"/>
    </row>
    <row r="85" spans="1:20" x14ac:dyDescent="0.25">
      <c r="A85" s="44">
        <v>8</v>
      </c>
      <c r="B85" s="89" t="s">
        <v>246</v>
      </c>
      <c r="C85" s="3">
        <v>60</v>
      </c>
      <c r="D85" s="5">
        <v>2</v>
      </c>
      <c r="E85" s="3" t="s">
        <v>1140</v>
      </c>
      <c r="F85" s="311">
        <v>42845</v>
      </c>
      <c r="G85" s="188">
        <f>45/C85</f>
        <v>0.75</v>
      </c>
      <c r="H85" s="5" t="s">
        <v>68</v>
      </c>
      <c r="I85" s="275" t="s">
        <v>78</v>
      </c>
      <c r="J85" s="3">
        <f t="shared" ref="J85:J90" si="6">K85*3.4528</f>
        <v>986414.41100799991</v>
      </c>
      <c r="K85" s="476">
        <v>285685.36</v>
      </c>
      <c r="L85" s="311">
        <v>42921</v>
      </c>
      <c r="M85" s="73"/>
      <c r="N85" s="375"/>
      <c r="O85" s="115" t="s">
        <v>381</v>
      </c>
      <c r="P85" s="137"/>
      <c r="Q85" s="127"/>
      <c r="R85" s="138"/>
      <c r="S85" s="139"/>
    </row>
    <row r="86" spans="1:20" x14ac:dyDescent="0.25">
      <c r="A86" s="42">
        <v>9</v>
      </c>
      <c r="B86" s="89" t="s">
        <v>248</v>
      </c>
      <c r="C86" s="3">
        <v>60</v>
      </c>
      <c r="D86" s="5">
        <v>3</v>
      </c>
      <c r="E86" s="115" t="s">
        <v>1139</v>
      </c>
      <c r="F86" s="335">
        <v>42849</v>
      </c>
      <c r="G86" s="188">
        <f>41/C86</f>
        <v>0.68333333333333335</v>
      </c>
      <c r="H86" s="128" t="s">
        <v>68</v>
      </c>
      <c r="I86" s="328" t="s">
        <v>224</v>
      </c>
      <c r="J86" s="3">
        <f t="shared" si="6"/>
        <v>1040853.948992</v>
      </c>
      <c r="K86" s="477">
        <v>301452.14</v>
      </c>
      <c r="L86" s="335">
        <v>42916</v>
      </c>
      <c r="M86" s="102"/>
      <c r="N86" s="375"/>
      <c r="O86" s="115" t="s">
        <v>381</v>
      </c>
      <c r="P86" s="133"/>
      <c r="Q86" s="134"/>
      <c r="R86" s="135"/>
      <c r="S86" s="136"/>
    </row>
    <row r="87" spans="1:20" x14ac:dyDescent="0.25">
      <c r="A87" s="44">
        <v>10</v>
      </c>
      <c r="B87" s="47" t="s">
        <v>1125</v>
      </c>
      <c r="C87" s="3">
        <v>60</v>
      </c>
      <c r="D87" s="276">
        <v>2</v>
      </c>
      <c r="E87" s="1" t="s">
        <v>1138</v>
      </c>
      <c r="F87" s="459">
        <v>42849</v>
      </c>
      <c r="G87" s="188">
        <f>41/C87</f>
        <v>0.68333333333333335</v>
      </c>
      <c r="H87" s="276" t="s">
        <v>68</v>
      </c>
      <c r="I87" s="1" t="s">
        <v>78</v>
      </c>
      <c r="J87" s="3">
        <f t="shared" si="6"/>
        <v>1162326.871264</v>
      </c>
      <c r="K87" s="478">
        <v>336633.13</v>
      </c>
      <c r="L87" s="64">
        <v>42915</v>
      </c>
      <c r="M87" s="240"/>
      <c r="N87" s="452"/>
      <c r="O87" s="3" t="s">
        <v>381</v>
      </c>
      <c r="P87" s="278"/>
      <c r="Q87" s="320"/>
      <c r="R87" s="320"/>
      <c r="S87" s="321"/>
    </row>
    <row r="88" spans="1:20" x14ac:dyDescent="0.25">
      <c r="A88" s="42">
        <v>11</v>
      </c>
      <c r="B88" s="74" t="s">
        <v>1126</v>
      </c>
      <c r="C88" s="146">
        <v>45</v>
      </c>
      <c r="D88" s="3">
        <v>0</v>
      </c>
      <c r="E88" s="3" t="s">
        <v>1142</v>
      </c>
      <c r="F88" s="311">
        <v>42844</v>
      </c>
      <c r="G88" s="188">
        <f>28/C88</f>
        <v>0.62222222222222223</v>
      </c>
      <c r="H88" s="5" t="s">
        <v>68</v>
      </c>
      <c r="I88" s="332" t="s">
        <v>224</v>
      </c>
      <c r="J88" s="3">
        <f t="shared" si="6"/>
        <v>960400.35977599991</v>
      </c>
      <c r="K88" s="479">
        <v>278151.17</v>
      </c>
      <c r="L88" s="311">
        <v>42919</v>
      </c>
      <c r="M88" s="73"/>
      <c r="N88" s="357"/>
      <c r="O88" s="3" t="s">
        <v>381</v>
      </c>
      <c r="P88" s="279"/>
      <c r="Q88" s="127"/>
      <c r="R88" s="127"/>
      <c r="S88" s="281"/>
    </row>
    <row r="89" spans="1:20" ht="26.25" x14ac:dyDescent="0.25">
      <c r="A89" s="44">
        <v>12</v>
      </c>
      <c r="B89" s="199" t="s">
        <v>1127</v>
      </c>
      <c r="C89" s="47">
        <v>45</v>
      </c>
      <c r="D89" s="276">
        <v>1</v>
      </c>
      <c r="E89" s="276" t="s">
        <v>1136</v>
      </c>
      <c r="F89" s="311">
        <v>42850</v>
      </c>
      <c r="G89" s="188">
        <f>35/C89</f>
        <v>0.77777777777777779</v>
      </c>
      <c r="H89" s="47" t="s">
        <v>68</v>
      </c>
      <c r="I89" s="465" t="s">
        <v>1154</v>
      </c>
      <c r="J89" s="3">
        <f t="shared" si="6"/>
        <v>877669.68348799995</v>
      </c>
      <c r="K89" s="480">
        <v>254190.71</v>
      </c>
      <c r="L89" s="64">
        <v>42930</v>
      </c>
      <c r="M89" s="467">
        <v>43098</v>
      </c>
      <c r="N89" s="452"/>
      <c r="O89" s="115" t="s">
        <v>77</v>
      </c>
      <c r="P89" s="278"/>
      <c r="Q89" s="334"/>
      <c r="R89" s="334"/>
      <c r="S89" s="331"/>
    </row>
    <row r="90" spans="1:20" ht="15.75" thickBot="1" x14ac:dyDescent="0.3">
      <c r="A90" s="43">
        <v>13</v>
      </c>
      <c r="B90" s="170" t="s">
        <v>1128</v>
      </c>
      <c r="C90" s="181">
        <v>60</v>
      </c>
      <c r="D90" s="4">
        <v>3</v>
      </c>
      <c r="E90" s="4" t="s">
        <v>1137</v>
      </c>
      <c r="F90" s="409">
        <v>42845</v>
      </c>
      <c r="G90" s="188">
        <f>44/C90</f>
        <v>0.73333333333333328</v>
      </c>
      <c r="H90" s="6" t="s">
        <v>68</v>
      </c>
      <c r="I90" s="410" t="s">
        <v>78</v>
      </c>
      <c r="J90" s="3">
        <f t="shared" si="6"/>
        <v>1076927.4913280001</v>
      </c>
      <c r="K90" s="481">
        <v>311899.76</v>
      </c>
      <c r="L90" s="409">
        <v>42930</v>
      </c>
      <c r="M90" s="4"/>
      <c r="N90" s="453"/>
      <c r="O90" s="4" t="s">
        <v>381</v>
      </c>
      <c r="P90" s="282"/>
      <c r="Q90" s="377"/>
      <c r="R90" s="377"/>
      <c r="S90" s="411"/>
    </row>
    <row r="91" spans="1:20" ht="15.75" thickBot="1" x14ac:dyDescent="0.3">
      <c r="A91" s="119"/>
      <c r="B91" s="199"/>
      <c r="C91" s="330"/>
      <c r="D91" s="47"/>
      <c r="E91" s="240"/>
      <c r="F91" s="54"/>
      <c r="G91" s="1">
        <f>COUNTIF(G78:G90,"&gt;0,5")</f>
        <v>13</v>
      </c>
      <c r="H91" s="1"/>
      <c r="I91" s="105"/>
      <c r="J91" s="412"/>
      <c r="K91" s="412"/>
      <c r="L91" s="64"/>
      <c r="M91" s="276"/>
      <c r="N91" s="1"/>
      <c r="O91" s="276"/>
      <c r="P91" s="143"/>
      <c r="Q91" s="348"/>
      <c r="R91" s="413"/>
      <c r="S91" s="414"/>
    </row>
    <row r="92" spans="1:20" x14ac:dyDescent="0.25">
      <c r="A92" s="41">
        <v>14</v>
      </c>
      <c r="B92" s="126" t="s">
        <v>245</v>
      </c>
      <c r="C92" s="9">
        <v>45</v>
      </c>
      <c r="D92" s="415">
        <v>1</v>
      </c>
      <c r="E92" s="9"/>
      <c r="F92" s="415"/>
      <c r="G92" s="188">
        <f>29/C92</f>
        <v>0.64444444444444449</v>
      </c>
      <c r="H92" s="415" t="s">
        <v>68</v>
      </c>
      <c r="I92" s="484" t="s">
        <v>224</v>
      </c>
      <c r="J92" s="9"/>
      <c r="K92" s="471">
        <v>286307.78000000003</v>
      </c>
      <c r="L92" s="469">
        <v>43152</v>
      </c>
      <c r="M92" s="9"/>
      <c r="N92" s="454"/>
      <c r="O92" s="9" t="s">
        <v>381</v>
      </c>
      <c r="P92" s="416"/>
      <c r="Q92" s="417"/>
      <c r="R92" s="418"/>
      <c r="S92" s="419"/>
      <c r="T92" s="2" t="s">
        <v>1155</v>
      </c>
    </row>
    <row r="93" spans="1:20" x14ac:dyDescent="0.25">
      <c r="A93" s="42">
        <v>15</v>
      </c>
      <c r="B93" s="89" t="s">
        <v>249</v>
      </c>
      <c r="C93" s="3">
        <v>40</v>
      </c>
      <c r="D93" s="5">
        <v>0</v>
      </c>
      <c r="E93" s="3"/>
      <c r="F93" s="5"/>
      <c r="G93" s="188">
        <f>26/C93</f>
        <v>0.65</v>
      </c>
      <c r="H93" s="5" t="s">
        <v>68</v>
      </c>
      <c r="I93" s="393" t="s">
        <v>235</v>
      </c>
      <c r="J93" s="3"/>
      <c r="K93" s="472">
        <v>312280.43</v>
      </c>
      <c r="L93" s="311">
        <v>43150</v>
      </c>
      <c r="M93" s="3"/>
      <c r="N93" s="375"/>
      <c r="O93" s="115" t="s">
        <v>381</v>
      </c>
      <c r="P93" s="137"/>
      <c r="Q93" s="127"/>
      <c r="R93" s="138"/>
      <c r="S93" s="139"/>
    </row>
    <row r="94" spans="1:20" x14ac:dyDescent="0.25">
      <c r="A94" s="42">
        <v>16</v>
      </c>
      <c r="B94" s="89" t="s">
        <v>380</v>
      </c>
      <c r="C94" s="3">
        <v>8</v>
      </c>
      <c r="D94" s="5">
        <v>0</v>
      </c>
      <c r="E94" s="3"/>
      <c r="F94" s="5"/>
      <c r="G94" s="188">
        <f>6/C94</f>
        <v>0.75</v>
      </c>
      <c r="H94" s="5"/>
      <c r="I94" s="275"/>
      <c r="J94" s="3"/>
      <c r="K94" s="132"/>
      <c r="L94" s="5"/>
      <c r="M94" s="3"/>
      <c r="N94" s="357"/>
      <c r="O94" s="3" t="s">
        <v>381</v>
      </c>
      <c r="P94" s="279"/>
      <c r="Q94" s="127"/>
      <c r="R94" s="280"/>
      <c r="S94" s="139"/>
    </row>
    <row r="95" spans="1:20" x14ac:dyDescent="0.25">
      <c r="A95" s="42">
        <v>17</v>
      </c>
      <c r="B95" s="421" t="s">
        <v>1051</v>
      </c>
      <c r="C95" s="115">
        <v>45</v>
      </c>
      <c r="D95" s="115">
        <v>0</v>
      </c>
      <c r="E95" s="128"/>
      <c r="F95" s="468">
        <v>43062</v>
      </c>
      <c r="G95" s="188">
        <f>29/C95</f>
        <v>0.64444444444444449</v>
      </c>
      <c r="H95" s="115" t="s">
        <v>68</v>
      </c>
      <c r="I95" s="485" t="s">
        <v>224</v>
      </c>
      <c r="J95" s="115"/>
      <c r="K95" s="482">
        <v>334038.65000000002</v>
      </c>
      <c r="L95" s="335">
        <v>43146</v>
      </c>
      <c r="M95" s="115"/>
      <c r="N95" s="375"/>
      <c r="O95" s="276" t="s">
        <v>381</v>
      </c>
      <c r="P95" s="323"/>
      <c r="Q95" s="135"/>
      <c r="R95" s="135"/>
      <c r="S95" s="136"/>
    </row>
    <row r="96" spans="1:20" x14ac:dyDescent="0.25">
      <c r="A96" s="42">
        <v>18</v>
      </c>
      <c r="B96" s="85" t="s">
        <v>1035</v>
      </c>
      <c r="C96" s="3">
        <v>45</v>
      </c>
      <c r="D96" s="3">
        <v>0</v>
      </c>
      <c r="E96" s="5"/>
      <c r="F96" s="287">
        <v>43087</v>
      </c>
      <c r="G96" s="188">
        <f>6/C96</f>
        <v>0.13333333333333333</v>
      </c>
      <c r="H96" s="3"/>
      <c r="I96" s="5"/>
      <c r="J96" s="3"/>
      <c r="K96" s="132"/>
      <c r="L96" s="5"/>
      <c r="M96" s="3"/>
      <c r="N96" s="357"/>
      <c r="O96" s="115" t="s">
        <v>381</v>
      </c>
      <c r="P96" s="279"/>
      <c r="Q96" s="138"/>
      <c r="R96" s="138"/>
      <c r="S96" s="139"/>
      <c r="T96" s="2" t="s">
        <v>1161</v>
      </c>
    </row>
    <row r="97" spans="1:20" x14ac:dyDescent="0.25">
      <c r="A97" s="42">
        <v>19</v>
      </c>
      <c r="B97" s="89" t="s">
        <v>1036</v>
      </c>
      <c r="C97" s="73">
        <v>45</v>
      </c>
      <c r="D97" s="3">
        <v>2</v>
      </c>
      <c r="E97" s="5"/>
      <c r="F97" s="287">
        <v>43104</v>
      </c>
      <c r="G97" s="188">
        <f>28/C97</f>
        <v>0.62222222222222223</v>
      </c>
      <c r="H97" s="3"/>
      <c r="I97" s="356"/>
      <c r="J97" s="3"/>
      <c r="K97" s="3"/>
      <c r="L97" s="5"/>
      <c r="M97" s="3"/>
      <c r="N97" s="357"/>
      <c r="O97" s="3" t="s">
        <v>381</v>
      </c>
      <c r="P97" s="279"/>
      <c r="Q97" s="138"/>
      <c r="R97" s="138"/>
      <c r="S97" s="139"/>
      <c r="T97" s="397">
        <v>43132</v>
      </c>
    </row>
    <row r="98" spans="1:20" x14ac:dyDescent="0.25">
      <c r="A98" s="42">
        <v>20</v>
      </c>
      <c r="B98" s="355" t="s">
        <v>1049</v>
      </c>
      <c r="C98" s="154">
        <v>45</v>
      </c>
      <c r="D98" s="115">
        <v>2</v>
      </c>
      <c r="E98" s="115"/>
      <c r="F98" s="335"/>
      <c r="G98" s="188">
        <f>28/C98</f>
        <v>0.62222222222222223</v>
      </c>
      <c r="H98" s="128"/>
      <c r="I98" s="373"/>
      <c r="J98" s="128"/>
      <c r="K98" s="115"/>
      <c r="L98" s="128"/>
      <c r="M98" s="115"/>
      <c r="N98" s="375"/>
      <c r="O98" s="276" t="s">
        <v>381</v>
      </c>
      <c r="P98" s="323"/>
      <c r="Q98" s="134"/>
      <c r="R98" s="134"/>
      <c r="S98" s="374"/>
      <c r="T98" s="397">
        <v>43133</v>
      </c>
    </row>
    <row r="99" spans="1:20" x14ac:dyDescent="0.25">
      <c r="A99" s="42">
        <v>21</v>
      </c>
      <c r="B99" s="74" t="s">
        <v>1048</v>
      </c>
      <c r="C99" s="146">
        <v>45</v>
      </c>
      <c r="D99" s="3">
        <v>1</v>
      </c>
      <c r="E99" s="3"/>
      <c r="F99" s="311">
        <v>43216</v>
      </c>
      <c r="G99" s="188">
        <f>27/C99</f>
        <v>0.6</v>
      </c>
      <c r="H99" s="5" t="s">
        <v>68</v>
      </c>
      <c r="I99" s="491" t="s">
        <v>78</v>
      </c>
      <c r="J99" s="5"/>
      <c r="K99" s="387">
        <v>352099.09</v>
      </c>
      <c r="L99" s="492">
        <v>43244</v>
      </c>
      <c r="M99" s="3"/>
      <c r="N99" s="357"/>
      <c r="O99" s="3" t="s">
        <v>381</v>
      </c>
      <c r="P99" s="279"/>
      <c r="Q99" s="127"/>
      <c r="R99" s="127"/>
      <c r="S99" s="281"/>
    </row>
    <row r="100" spans="1:20" x14ac:dyDescent="0.25">
      <c r="A100" s="42">
        <v>22</v>
      </c>
      <c r="B100" s="74" t="s">
        <v>1053</v>
      </c>
      <c r="C100" s="146">
        <v>45</v>
      </c>
      <c r="D100" s="3">
        <v>0</v>
      </c>
      <c r="E100" s="3"/>
      <c r="F100" s="311"/>
      <c r="G100" s="188">
        <f>31/C100</f>
        <v>0.68888888888888888</v>
      </c>
      <c r="H100" s="5"/>
      <c r="I100" s="332"/>
      <c r="J100" s="5"/>
      <c r="K100" s="3"/>
      <c r="L100" s="5"/>
      <c r="M100" s="3"/>
      <c r="N100" s="357"/>
      <c r="O100" s="3" t="s">
        <v>381</v>
      </c>
      <c r="P100" s="279"/>
      <c r="Q100" s="127"/>
      <c r="R100" s="127"/>
      <c r="S100" s="281"/>
      <c r="T100" s="397">
        <v>43132</v>
      </c>
    </row>
    <row r="101" spans="1:20" x14ac:dyDescent="0.25">
      <c r="A101" s="42">
        <v>23</v>
      </c>
      <c r="B101" s="47" t="s">
        <v>1032</v>
      </c>
      <c r="C101" s="330">
        <v>30</v>
      </c>
      <c r="D101" s="240">
        <v>0</v>
      </c>
      <c r="E101" s="276"/>
      <c r="F101" s="64"/>
      <c r="G101" s="188">
        <f>24/C101</f>
        <v>0.8</v>
      </c>
      <c r="H101" s="1"/>
      <c r="I101" s="333"/>
      <c r="J101" s="1"/>
      <c r="K101" s="276"/>
      <c r="L101" s="1"/>
      <c r="M101" s="276"/>
      <c r="N101" s="452"/>
      <c r="O101" s="276" t="s">
        <v>381</v>
      </c>
      <c r="P101" s="278"/>
      <c r="Q101" s="334"/>
      <c r="R101" s="334"/>
      <c r="S101" s="331"/>
      <c r="T101" s="397">
        <v>43133</v>
      </c>
    </row>
    <row r="102" spans="1:20" x14ac:dyDescent="0.25">
      <c r="A102" s="42">
        <v>24</v>
      </c>
      <c r="B102" s="89" t="s">
        <v>1055</v>
      </c>
      <c r="C102" s="74">
        <v>45</v>
      </c>
      <c r="D102" s="73">
        <v>2</v>
      </c>
      <c r="E102" s="3"/>
      <c r="F102" s="311"/>
      <c r="G102" s="188">
        <f>33/C102</f>
        <v>0.73333333333333328</v>
      </c>
      <c r="H102" s="5"/>
      <c r="I102" s="332"/>
      <c r="J102" s="5"/>
      <c r="K102" s="3"/>
      <c r="L102" s="5"/>
      <c r="M102" s="3"/>
      <c r="N102" s="357"/>
      <c r="O102" s="3" t="s">
        <v>381</v>
      </c>
      <c r="P102" s="279"/>
      <c r="Q102" s="127"/>
      <c r="R102" s="127"/>
      <c r="S102" s="281"/>
      <c r="T102" s="397">
        <v>43134</v>
      </c>
    </row>
    <row r="103" spans="1:20" x14ac:dyDescent="0.25">
      <c r="A103" s="42">
        <v>25</v>
      </c>
      <c r="B103" s="89" t="s">
        <v>1056</v>
      </c>
      <c r="C103" s="74">
        <v>54</v>
      </c>
      <c r="D103" s="3">
        <v>1</v>
      </c>
      <c r="E103" s="3"/>
      <c r="F103" s="311"/>
      <c r="G103" s="188">
        <f>32/C103</f>
        <v>0.59259259259259256</v>
      </c>
      <c r="H103" s="5"/>
      <c r="I103" s="332"/>
      <c r="J103" s="5"/>
      <c r="K103" s="3"/>
      <c r="L103" s="5"/>
      <c r="M103" s="3"/>
      <c r="N103" s="357"/>
      <c r="O103" s="3" t="s">
        <v>381</v>
      </c>
      <c r="P103" s="279"/>
      <c r="Q103" s="127"/>
      <c r="R103" s="127"/>
      <c r="S103" s="281"/>
      <c r="T103" s="397">
        <v>43135</v>
      </c>
    </row>
    <row r="104" spans="1:20" x14ac:dyDescent="0.25">
      <c r="A104" s="42">
        <v>26</v>
      </c>
      <c r="B104" s="89" t="s">
        <v>1062</v>
      </c>
      <c r="C104" s="74">
        <v>45</v>
      </c>
      <c r="D104" s="3">
        <v>0</v>
      </c>
      <c r="E104" s="276"/>
      <c r="F104" s="311">
        <v>43104</v>
      </c>
      <c r="G104" s="188">
        <f>36/C104</f>
        <v>0.8</v>
      </c>
      <c r="H104" s="5"/>
      <c r="I104" s="332"/>
      <c r="J104" s="5"/>
      <c r="K104" s="3"/>
      <c r="L104" s="5"/>
      <c r="M104" s="3"/>
      <c r="N104" s="357"/>
      <c r="O104" s="3" t="s">
        <v>381</v>
      </c>
      <c r="P104" s="280"/>
      <c r="Q104" s="127"/>
      <c r="R104" s="127"/>
      <c r="S104" s="281"/>
      <c r="T104" s="397">
        <v>43136</v>
      </c>
    </row>
    <row r="105" spans="1:20" x14ac:dyDescent="0.25">
      <c r="A105" s="42">
        <v>27</v>
      </c>
      <c r="B105" s="129" t="s">
        <v>1063</v>
      </c>
      <c r="C105" s="355">
        <v>38</v>
      </c>
      <c r="D105" s="102">
        <v>0</v>
      </c>
      <c r="E105" s="7"/>
      <c r="F105" s="311">
        <v>43068</v>
      </c>
      <c r="G105" s="188">
        <f>21/C105</f>
        <v>0.55263157894736847</v>
      </c>
      <c r="H105" s="5" t="s">
        <v>68</v>
      </c>
      <c r="I105" s="391" t="s">
        <v>78</v>
      </c>
      <c r="J105" s="5"/>
      <c r="K105" s="3">
        <v>302092.17</v>
      </c>
      <c r="L105" s="311">
        <v>43133</v>
      </c>
      <c r="M105" s="3"/>
      <c r="N105" s="357"/>
      <c r="O105" s="115" t="s">
        <v>381</v>
      </c>
      <c r="P105" s="354"/>
      <c r="Q105" s="127"/>
      <c r="R105" s="127"/>
      <c r="S105" s="331"/>
    </row>
    <row r="106" spans="1:20" x14ac:dyDescent="0.25">
      <c r="A106" s="42">
        <v>28</v>
      </c>
      <c r="B106" s="73" t="s">
        <v>1061</v>
      </c>
      <c r="C106" s="5">
        <v>22</v>
      </c>
      <c r="D106" s="73">
        <v>1</v>
      </c>
      <c r="E106" s="7"/>
      <c r="F106" s="311">
        <v>43068</v>
      </c>
      <c r="G106" s="188">
        <f>15/C106</f>
        <v>0.68181818181818177</v>
      </c>
      <c r="H106" s="5" t="s">
        <v>68</v>
      </c>
      <c r="I106" s="391" t="s">
        <v>78</v>
      </c>
      <c r="J106" s="5"/>
      <c r="K106" s="3">
        <v>262407.82</v>
      </c>
      <c r="L106" s="311">
        <v>43133</v>
      </c>
      <c r="M106" s="3"/>
      <c r="N106" s="357"/>
      <c r="O106" s="3" t="s">
        <v>381</v>
      </c>
      <c r="P106" s="279"/>
      <c r="Q106" s="127"/>
      <c r="R106" s="127"/>
      <c r="S106" s="281"/>
    </row>
    <row r="107" spans="1:20" x14ac:dyDescent="0.25">
      <c r="A107" s="42">
        <v>29</v>
      </c>
      <c r="B107" s="470" t="s">
        <v>1078</v>
      </c>
      <c r="C107" s="115">
        <v>60</v>
      </c>
      <c r="D107" s="102">
        <v>2</v>
      </c>
      <c r="E107" s="7"/>
      <c r="F107" s="311"/>
      <c r="G107" s="188">
        <f>52/C107</f>
        <v>0.8666666666666667</v>
      </c>
      <c r="H107" s="128"/>
      <c r="I107" s="391"/>
      <c r="J107" s="128"/>
      <c r="K107" s="3"/>
      <c r="L107" s="128"/>
      <c r="M107" s="3"/>
      <c r="N107" s="375"/>
      <c r="O107" s="115" t="s">
        <v>381</v>
      </c>
      <c r="P107" s="376"/>
      <c r="Q107" s="134"/>
      <c r="R107" s="134"/>
      <c r="S107" s="331"/>
      <c r="T107" s="397">
        <v>43132</v>
      </c>
    </row>
    <row r="108" spans="1:20" x14ac:dyDescent="0.25">
      <c r="A108" s="42">
        <v>30</v>
      </c>
      <c r="B108" s="355" t="s">
        <v>1084</v>
      </c>
      <c r="C108" s="115">
        <v>100</v>
      </c>
      <c r="D108" s="102">
        <v>4</v>
      </c>
      <c r="E108" s="3"/>
      <c r="F108" s="311"/>
      <c r="G108" s="188">
        <f>66/C108</f>
        <v>0.66</v>
      </c>
      <c r="H108" s="128"/>
      <c r="I108" s="391"/>
      <c r="J108" s="128"/>
      <c r="K108" s="3"/>
      <c r="L108" s="128"/>
      <c r="M108" s="3"/>
      <c r="N108" s="375"/>
      <c r="O108" s="115" t="s">
        <v>381</v>
      </c>
      <c r="P108" s="362"/>
      <c r="Q108" s="134"/>
      <c r="R108" s="134"/>
      <c r="S108" s="139"/>
      <c r="T108" s="397">
        <v>43133</v>
      </c>
    </row>
    <row r="109" spans="1:20" x14ac:dyDescent="0.25">
      <c r="A109" s="42">
        <v>31</v>
      </c>
      <c r="B109" s="355" t="s">
        <v>1079</v>
      </c>
      <c r="C109" s="115">
        <v>45</v>
      </c>
      <c r="D109" s="102">
        <v>1</v>
      </c>
      <c r="E109" s="115"/>
      <c r="F109" s="311"/>
      <c r="G109" s="188">
        <f>30/C109</f>
        <v>0.66666666666666663</v>
      </c>
      <c r="H109" s="128" t="s">
        <v>68</v>
      </c>
      <c r="I109" s="391" t="s">
        <v>235</v>
      </c>
      <c r="J109" s="128"/>
      <c r="K109" s="3">
        <v>343235.86</v>
      </c>
      <c r="L109" s="335">
        <v>43153</v>
      </c>
      <c r="M109" s="3"/>
      <c r="N109" s="375"/>
      <c r="O109" s="115" t="s">
        <v>381</v>
      </c>
      <c r="P109" s="362"/>
      <c r="Q109" s="134"/>
      <c r="R109" s="134"/>
      <c r="S109" s="331"/>
    </row>
    <row r="110" spans="1:20" x14ac:dyDescent="0.25">
      <c r="A110" s="42">
        <v>32</v>
      </c>
      <c r="B110" s="47" t="s">
        <v>1075</v>
      </c>
      <c r="C110" s="77">
        <v>60</v>
      </c>
      <c r="D110" s="77">
        <v>2</v>
      </c>
      <c r="E110" s="115"/>
      <c r="F110" s="311">
        <v>43062</v>
      </c>
      <c r="G110" s="188">
        <f>37/C110</f>
        <v>0.6166666666666667</v>
      </c>
      <c r="H110" s="47" t="s">
        <v>68</v>
      </c>
      <c r="I110" s="391" t="s">
        <v>235</v>
      </c>
      <c r="J110" s="1"/>
      <c r="K110" s="3">
        <v>438950.49</v>
      </c>
      <c r="L110" s="64">
        <v>43152</v>
      </c>
      <c r="M110" s="3"/>
      <c r="N110" s="452"/>
      <c r="O110" s="276" t="s">
        <v>381</v>
      </c>
      <c r="P110" s="137"/>
      <c r="Q110" s="384"/>
      <c r="R110" s="384"/>
      <c r="S110" s="139"/>
    </row>
    <row r="111" spans="1:20" x14ac:dyDescent="0.25">
      <c r="A111" s="42">
        <v>33</v>
      </c>
      <c r="B111" s="146" t="s">
        <v>1065</v>
      </c>
      <c r="C111" s="85">
        <v>75</v>
      </c>
      <c r="D111" s="85">
        <v>2</v>
      </c>
      <c r="E111" s="3"/>
      <c r="F111" s="311"/>
      <c r="G111" s="188">
        <f>52/C111</f>
        <v>0.69333333333333336</v>
      </c>
      <c r="H111" s="5"/>
      <c r="I111" s="3"/>
      <c r="J111" s="5"/>
      <c r="K111" s="3"/>
      <c r="L111" s="5"/>
      <c r="M111" s="3"/>
      <c r="N111" s="357"/>
      <c r="O111" s="3" t="s">
        <v>381</v>
      </c>
      <c r="P111" s="133"/>
      <c r="Q111" s="384"/>
      <c r="R111" s="384"/>
      <c r="S111" s="139"/>
      <c r="T111" s="397">
        <v>43132</v>
      </c>
    </row>
    <row r="112" spans="1:20" x14ac:dyDescent="0.25">
      <c r="A112" s="42">
        <v>34</v>
      </c>
      <c r="B112" s="355" t="s">
        <v>1121</v>
      </c>
      <c r="C112" s="115">
        <v>25</v>
      </c>
      <c r="D112" s="102">
        <v>0</v>
      </c>
      <c r="E112" s="3"/>
      <c r="F112" s="311"/>
      <c r="G112" s="188">
        <f>14/C112</f>
        <v>0.56000000000000005</v>
      </c>
      <c r="H112" s="128"/>
      <c r="I112" s="3"/>
      <c r="J112" s="128"/>
      <c r="K112" s="3"/>
      <c r="L112" s="128"/>
      <c r="M112" s="3"/>
      <c r="N112" s="375"/>
      <c r="O112" s="115" t="s">
        <v>381</v>
      </c>
      <c r="P112" s="362"/>
      <c r="Q112" s="384"/>
      <c r="R112" s="384"/>
      <c r="S112" s="139"/>
      <c r="T112" s="397">
        <v>43133</v>
      </c>
    </row>
    <row r="113" spans="1:20" x14ac:dyDescent="0.25">
      <c r="A113" s="42">
        <v>35</v>
      </c>
      <c r="B113" s="355" t="s">
        <v>1122</v>
      </c>
      <c r="C113" s="115">
        <v>50</v>
      </c>
      <c r="D113" s="102">
        <v>5</v>
      </c>
      <c r="E113" s="3"/>
      <c r="F113" s="311"/>
      <c r="G113" s="188">
        <f>31/C113</f>
        <v>0.62</v>
      </c>
      <c r="H113" s="128"/>
      <c r="I113" s="3"/>
      <c r="J113" s="128"/>
      <c r="K113" s="3"/>
      <c r="L113" s="128"/>
      <c r="M113" s="3"/>
      <c r="N113" s="375"/>
      <c r="O113" s="115" t="s">
        <v>381</v>
      </c>
      <c r="P113" s="362"/>
      <c r="Q113" s="127"/>
      <c r="R113" s="127"/>
      <c r="S113" s="139"/>
      <c r="T113" s="397">
        <v>43134</v>
      </c>
    </row>
    <row r="114" spans="1:20" x14ac:dyDescent="0.25">
      <c r="A114" s="42">
        <v>36</v>
      </c>
      <c r="B114" s="355" t="s">
        <v>1156</v>
      </c>
      <c r="C114" s="115">
        <v>45</v>
      </c>
      <c r="D114" s="102">
        <v>1</v>
      </c>
      <c r="E114" s="3"/>
      <c r="F114" s="311">
        <v>43110</v>
      </c>
      <c r="G114" s="188">
        <f>28/C114</f>
        <v>0.62222222222222223</v>
      </c>
      <c r="H114" s="128"/>
      <c r="I114" s="3"/>
      <c r="J114" s="128"/>
      <c r="K114" s="3"/>
      <c r="L114" s="128"/>
      <c r="M114" s="3"/>
      <c r="N114" s="375"/>
      <c r="O114" s="115" t="s">
        <v>381</v>
      </c>
      <c r="P114" s="362"/>
      <c r="Q114" s="134"/>
      <c r="R114" s="134"/>
      <c r="S114" s="139"/>
      <c r="T114" s="397">
        <v>43135</v>
      </c>
    </row>
    <row r="115" spans="1:20" x14ac:dyDescent="0.25">
      <c r="A115" s="42">
        <v>37</v>
      </c>
      <c r="B115" s="355" t="s">
        <v>1157</v>
      </c>
      <c r="C115" s="115">
        <v>54</v>
      </c>
      <c r="D115" s="102">
        <v>1</v>
      </c>
      <c r="E115" s="3"/>
      <c r="F115" s="311">
        <v>43109</v>
      </c>
      <c r="G115" s="188">
        <f>32/C115</f>
        <v>0.59259259259259256</v>
      </c>
      <c r="H115" s="128"/>
      <c r="I115" s="3"/>
      <c r="J115" s="128"/>
      <c r="K115" s="3"/>
      <c r="L115" s="128"/>
      <c r="M115" s="3"/>
      <c r="N115" s="375"/>
      <c r="O115" s="115" t="s">
        <v>381</v>
      </c>
      <c r="P115" s="362"/>
      <c r="Q115" s="134"/>
      <c r="R115" s="134"/>
      <c r="S115" s="139"/>
      <c r="T115" s="397">
        <v>43136</v>
      </c>
    </row>
    <row r="116" spans="1:20" x14ac:dyDescent="0.25">
      <c r="A116" s="42">
        <v>38</v>
      </c>
      <c r="B116" s="355" t="s">
        <v>1158</v>
      </c>
      <c r="C116" s="115">
        <v>6</v>
      </c>
      <c r="D116" s="102">
        <v>1</v>
      </c>
      <c r="E116" s="3"/>
      <c r="F116" s="311"/>
      <c r="G116" s="188">
        <f>6/C116</f>
        <v>1</v>
      </c>
      <c r="H116" s="128"/>
      <c r="I116" s="3"/>
      <c r="J116" s="128"/>
      <c r="K116" s="3"/>
      <c r="L116" s="128"/>
      <c r="M116" s="3"/>
      <c r="N116" s="375"/>
      <c r="O116" s="115" t="s">
        <v>381</v>
      </c>
      <c r="P116" s="362"/>
      <c r="Q116" s="134"/>
      <c r="R116" s="134"/>
      <c r="S116" s="139"/>
      <c r="T116" s="397">
        <v>43137</v>
      </c>
    </row>
    <row r="117" spans="1:20" x14ac:dyDescent="0.25">
      <c r="A117" s="42">
        <v>39</v>
      </c>
      <c r="B117" s="355" t="s">
        <v>1083</v>
      </c>
      <c r="C117" s="115">
        <v>100</v>
      </c>
      <c r="D117" s="102">
        <v>6</v>
      </c>
      <c r="E117" s="3"/>
      <c r="F117" s="311">
        <v>43109</v>
      </c>
      <c r="G117" s="188">
        <f>63/C117</f>
        <v>0.63</v>
      </c>
      <c r="H117" s="128"/>
      <c r="I117" s="3"/>
      <c r="J117" s="128"/>
      <c r="K117" s="3"/>
      <c r="L117" s="128"/>
      <c r="M117" s="3"/>
      <c r="N117" s="375"/>
      <c r="O117" s="115" t="s">
        <v>381</v>
      </c>
      <c r="P117" s="362"/>
      <c r="Q117" s="134"/>
      <c r="R117" s="134"/>
      <c r="S117" s="139"/>
      <c r="T117" s="397">
        <v>43138</v>
      </c>
    </row>
    <row r="118" spans="1:20" x14ac:dyDescent="0.25">
      <c r="A118" s="42">
        <v>40</v>
      </c>
      <c r="B118" s="355" t="s">
        <v>1089</v>
      </c>
      <c r="C118" s="115">
        <v>45</v>
      </c>
      <c r="D118" s="102">
        <v>0</v>
      </c>
      <c r="E118" s="3"/>
      <c r="F118" s="311"/>
      <c r="G118" s="188">
        <f>30/C118</f>
        <v>0.66666666666666663</v>
      </c>
      <c r="H118" s="128"/>
      <c r="I118" s="3"/>
      <c r="J118" s="128"/>
      <c r="K118" s="3"/>
      <c r="L118" s="128"/>
      <c r="M118" s="3"/>
      <c r="N118" s="375"/>
      <c r="O118" s="115" t="s">
        <v>381</v>
      </c>
      <c r="P118" s="362"/>
      <c r="Q118" s="134"/>
      <c r="R118" s="134"/>
      <c r="S118" s="139"/>
      <c r="T118" s="397">
        <v>43139</v>
      </c>
    </row>
    <row r="119" spans="1:20" x14ac:dyDescent="0.25">
      <c r="A119" s="42">
        <v>41</v>
      </c>
      <c r="B119" s="355" t="s">
        <v>1159</v>
      </c>
      <c r="C119" s="115">
        <v>54</v>
      </c>
      <c r="D119" s="102">
        <v>4</v>
      </c>
      <c r="E119" s="3"/>
      <c r="F119" s="311"/>
      <c r="G119" s="188">
        <f>42/C119</f>
        <v>0.77777777777777779</v>
      </c>
      <c r="H119" s="128"/>
      <c r="I119" s="3"/>
      <c r="J119" s="128"/>
      <c r="K119" s="3"/>
      <c r="L119" s="128"/>
      <c r="M119" s="3"/>
      <c r="N119" s="375"/>
      <c r="O119" s="115" t="s">
        <v>381</v>
      </c>
      <c r="P119" s="362"/>
      <c r="Q119" s="134"/>
      <c r="R119" s="134"/>
      <c r="S119" s="139"/>
      <c r="T119" s="397">
        <v>43140</v>
      </c>
    </row>
    <row r="120" spans="1:20" x14ac:dyDescent="0.25">
      <c r="A120" s="42">
        <v>42</v>
      </c>
      <c r="B120" s="355" t="s">
        <v>1160</v>
      </c>
      <c r="C120" s="115">
        <v>8</v>
      </c>
      <c r="D120" s="102">
        <v>0</v>
      </c>
      <c r="E120" s="3"/>
      <c r="F120" s="311"/>
      <c r="G120" s="188">
        <f>6/C120</f>
        <v>0.75</v>
      </c>
      <c r="H120" s="128"/>
      <c r="I120" s="3"/>
      <c r="J120" s="128"/>
      <c r="K120" s="3"/>
      <c r="L120" s="128"/>
      <c r="M120" s="3"/>
      <c r="N120" s="375"/>
      <c r="O120" s="115" t="s">
        <v>381</v>
      </c>
      <c r="P120" s="362"/>
      <c r="Q120" s="134"/>
      <c r="R120" s="134"/>
      <c r="S120" s="139"/>
      <c r="T120" s="397">
        <v>43141</v>
      </c>
    </row>
    <row r="121" spans="1:20" x14ac:dyDescent="0.25">
      <c r="A121" s="42">
        <v>43</v>
      </c>
      <c r="B121" s="355" t="s">
        <v>1073</v>
      </c>
      <c r="C121" s="115">
        <v>45</v>
      </c>
      <c r="D121" s="102">
        <v>0</v>
      </c>
      <c r="E121" s="3"/>
      <c r="F121" s="311"/>
      <c r="G121" s="188">
        <f>30/C121</f>
        <v>0.66666666666666663</v>
      </c>
      <c r="H121" s="128"/>
      <c r="I121" s="3"/>
      <c r="J121" s="128"/>
      <c r="K121" s="3"/>
      <c r="L121" s="128"/>
      <c r="M121" s="3"/>
      <c r="N121" s="375"/>
      <c r="O121" s="115" t="s">
        <v>381</v>
      </c>
      <c r="P121" s="362"/>
      <c r="Q121" s="134"/>
      <c r="R121" s="134"/>
      <c r="S121" s="139"/>
      <c r="T121" s="397">
        <v>43142</v>
      </c>
    </row>
    <row r="122" spans="1:20" x14ac:dyDescent="0.25">
      <c r="A122" s="42"/>
      <c r="B122" s="355"/>
      <c r="C122" s="115"/>
      <c r="D122" s="102"/>
      <c r="E122" s="3"/>
      <c r="F122" s="311"/>
      <c r="G122" s="188"/>
      <c r="H122" s="128"/>
      <c r="I122" s="3"/>
      <c r="J122" s="128"/>
      <c r="K122" s="3"/>
      <c r="L122" s="128"/>
      <c r="M122" s="3"/>
      <c r="N122" s="375"/>
      <c r="O122" s="115" t="s">
        <v>381</v>
      </c>
      <c r="P122" s="362"/>
      <c r="Q122" s="134"/>
      <c r="R122" s="134"/>
      <c r="S122" s="139"/>
    </row>
    <row r="123" spans="1:20" x14ac:dyDescent="0.25">
      <c r="B123" s="47"/>
      <c r="C123" s="2">
        <f>SUM(C78:C121)</f>
        <v>1988</v>
      </c>
      <c r="D123" s="2">
        <f>SUM(D78:D122)</f>
        <v>65</v>
      </c>
      <c r="G123" s="2">
        <f>COUNTIF(G78:G122,"&gt;0,5")</f>
        <v>43</v>
      </c>
      <c r="H123" s="2">
        <f>COUNTIF(H78:H122,"Taip")</f>
        <v>21</v>
      </c>
      <c r="I123" s="2">
        <f>COUNTA(I78:I122)</f>
        <v>21</v>
      </c>
      <c r="J123" s="52">
        <f>SUM(J78:J122)</f>
        <v>13329949.735579517</v>
      </c>
      <c r="K123" s="52">
        <f>SUM(K78:K122)</f>
        <v>6492032.5784000009</v>
      </c>
      <c r="L123" s="2">
        <f>COUNTIF(L78:L106,"Taip")</f>
        <v>0</v>
      </c>
      <c r="M123" s="2">
        <f>COUNTA(M78:M122)</f>
        <v>7</v>
      </c>
      <c r="N123" s="2">
        <f>COUNTIF(N78:N122,"Taip")</f>
        <v>5</v>
      </c>
    </row>
    <row r="124" spans="1:20" x14ac:dyDescent="0.25">
      <c r="B124" s="47"/>
      <c r="K124" s="52"/>
    </row>
    <row r="125" spans="1:20" x14ac:dyDescent="0.25">
      <c r="B125" s="83" t="s">
        <v>110</v>
      </c>
      <c r="C125" s="82">
        <f>C35+C55+C75+C123</f>
        <v>5198</v>
      </c>
      <c r="D125" s="82">
        <f>D35+D55+D75+D123</f>
        <v>281</v>
      </c>
      <c r="E125" s="82"/>
      <c r="F125" s="82"/>
      <c r="G125" s="58" t="s">
        <v>1043</v>
      </c>
      <c r="H125" s="58" t="s">
        <v>1044</v>
      </c>
      <c r="I125" s="58" t="s">
        <v>1040</v>
      </c>
      <c r="J125" s="58" t="s">
        <v>1041</v>
      </c>
      <c r="K125" s="58" t="s">
        <v>1042</v>
      </c>
      <c r="L125" s="58"/>
      <c r="M125" s="58" t="s">
        <v>1038</v>
      </c>
      <c r="N125" s="58" t="s">
        <v>1039</v>
      </c>
    </row>
    <row r="126" spans="1:20" x14ac:dyDescent="0.25">
      <c r="A126" s="407">
        <f>A34+A54+A74+A122</f>
        <v>66</v>
      </c>
      <c r="B126" s="85" t="s">
        <v>222</v>
      </c>
      <c r="C126" s="58">
        <f>SUMIF($H$3:$H$90,"Taip",C3:C90)</f>
        <v>3612</v>
      </c>
      <c r="D126" s="58">
        <f>SUMIF($H$3:$H$90,"Taip",D3:D90)</f>
        <v>148</v>
      </c>
      <c r="E126" s="58"/>
      <c r="F126" s="58"/>
      <c r="G126" s="82">
        <f>G35+G55+G75+G123</f>
        <v>109</v>
      </c>
      <c r="H126" s="82">
        <f>H35+H55+H75+H123</f>
        <v>83</v>
      </c>
      <c r="I126" s="82">
        <f>I35+I55+I75+I123</f>
        <v>83</v>
      </c>
      <c r="J126" s="84">
        <f>J35+J55+J75+J123</f>
        <v>88414421.174776316</v>
      </c>
      <c r="K126" s="84">
        <f>K35+K55+K75+K123</f>
        <v>28572153.396851346</v>
      </c>
      <c r="L126" s="101"/>
      <c r="M126" s="101">
        <f>M35+M55+M75+M123</f>
        <v>67</v>
      </c>
      <c r="N126" s="101">
        <f>N35+N55+N75+N123</f>
        <v>63</v>
      </c>
    </row>
    <row r="127" spans="1:20" x14ac:dyDescent="0.25">
      <c r="A127" s="420">
        <f>A126-1</f>
        <v>65</v>
      </c>
      <c r="B127" s="58" t="s">
        <v>1130</v>
      </c>
      <c r="C127" s="58">
        <f>C126-C7</f>
        <v>3592</v>
      </c>
      <c r="D127" s="58">
        <f>D126-D7</f>
        <v>148</v>
      </c>
      <c r="E127" s="58"/>
      <c r="F127" s="58"/>
      <c r="G127" s="58">
        <f>G126-1</f>
        <v>108</v>
      </c>
      <c r="H127" s="58">
        <f>H126-1</f>
        <v>82</v>
      </c>
      <c r="I127" s="58">
        <f>I126-1</f>
        <v>82</v>
      </c>
      <c r="J127" s="84">
        <f>J126-J7</f>
        <v>87423872.34652032</v>
      </c>
      <c r="K127" s="84">
        <f>K126-K7</f>
        <v>28285270.626851346</v>
      </c>
      <c r="L127" s="58"/>
      <c r="M127" s="108">
        <f>M126-1</f>
        <v>66</v>
      </c>
      <c r="N127" s="108">
        <f>N126-1</f>
        <v>62</v>
      </c>
    </row>
    <row r="128" spans="1:20" ht="15.75" thickBot="1" x14ac:dyDescent="0.3">
      <c r="B128" s="47"/>
      <c r="G128" s="336"/>
      <c r="H128" s="336"/>
      <c r="I128" s="336"/>
      <c r="J128" s="336"/>
      <c r="K128" s="336"/>
      <c r="L128" s="336"/>
      <c r="M128" s="336"/>
      <c r="N128" s="336"/>
    </row>
    <row r="129" spans="1:11" ht="46.5" customHeight="1" thickBot="1" x14ac:dyDescent="0.3">
      <c r="A129" s="202"/>
      <c r="B129" s="284" t="s">
        <v>1028</v>
      </c>
      <c r="C129" s="285" t="s">
        <v>94</v>
      </c>
      <c r="D129" s="285" t="s">
        <v>95</v>
      </c>
      <c r="E129" s="286"/>
      <c r="F129" s="285" t="s">
        <v>1029</v>
      </c>
      <c r="G129" s="285" t="s">
        <v>1030</v>
      </c>
    </row>
    <row r="130" spans="1:11" x14ac:dyDescent="0.25">
      <c r="A130" s="9">
        <v>1</v>
      </c>
      <c r="B130" s="104" t="s">
        <v>1026</v>
      </c>
      <c r="C130" s="9">
        <v>45</v>
      </c>
      <c r="D130" s="9">
        <v>1</v>
      </c>
      <c r="E130" s="9"/>
      <c r="F130" s="238">
        <v>42109</v>
      </c>
      <c r="G130" s="198">
        <v>0.311</v>
      </c>
    </row>
    <row r="131" spans="1:11" x14ac:dyDescent="0.25">
      <c r="A131" s="3">
        <v>2</v>
      </c>
      <c r="B131" s="74" t="s">
        <v>1032</v>
      </c>
      <c r="C131" s="3">
        <v>30</v>
      </c>
      <c r="D131" s="3">
        <v>0</v>
      </c>
      <c r="E131" s="3"/>
      <c r="F131" s="130">
        <v>42233</v>
      </c>
      <c r="G131" s="188" t="s">
        <v>1031</v>
      </c>
    </row>
    <row r="132" spans="1:11" ht="14.25" customHeight="1" x14ac:dyDescent="0.25">
      <c r="A132" s="3">
        <v>3</v>
      </c>
      <c r="B132" s="74" t="s">
        <v>1027</v>
      </c>
      <c r="C132" s="3">
        <v>45</v>
      </c>
      <c r="D132" s="3">
        <v>2</v>
      </c>
      <c r="E132" s="3"/>
      <c r="F132" s="130">
        <v>42261</v>
      </c>
      <c r="G132" s="188">
        <v>0.311</v>
      </c>
      <c r="I132" s="117"/>
      <c r="K132" s="1"/>
    </row>
    <row r="133" spans="1:11" x14ac:dyDescent="0.25">
      <c r="A133" s="3">
        <v>4</v>
      </c>
      <c r="B133" s="74" t="s">
        <v>1050</v>
      </c>
      <c r="C133" s="3">
        <v>45</v>
      </c>
      <c r="D133" s="3">
        <v>3</v>
      </c>
      <c r="E133" s="3"/>
      <c r="F133" s="130">
        <v>42404</v>
      </c>
      <c r="G133" s="188"/>
      <c r="I133" s="118"/>
    </row>
    <row r="134" spans="1:11" x14ac:dyDescent="0.25">
      <c r="A134" s="3">
        <v>5</v>
      </c>
      <c r="B134" s="74" t="s">
        <v>1032</v>
      </c>
      <c r="C134" s="3">
        <v>30</v>
      </c>
      <c r="D134" s="3">
        <v>0</v>
      </c>
      <c r="E134" s="3"/>
      <c r="F134" s="130">
        <v>42430</v>
      </c>
      <c r="G134" s="188" t="s">
        <v>1031</v>
      </c>
    </row>
    <row r="135" spans="1:11" x14ac:dyDescent="0.25">
      <c r="A135" s="3">
        <v>6</v>
      </c>
      <c r="B135" s="74" t="s">
        <v>1060</v>
      </c>
      <c r="C135" s="3">
        <v>54</v>
      </c>
      <c r="D135" s="3">
        <v>2</v>
      </c>
      <c r="E135" s="3"/>
      <c r="F135" s="130">
        <v>42493</v>
      </c>
      <c r="G135" s="188">
        <f>20/C135</f>
        <v>0.37037037037037035</v>
      </c>
    </row>
    <row r="136" spans="1:11" x14ac:dyDescent="0.25">
      <c r="A136" s="3">
        <v>9</v>
      </c>
      <c r="B136" s="74" t="s">
        <v>1064</v>
      </c>
      <c r="C136" s="3">
        <v>100</v>
      </c>
      <c r="D136" s="73">
        <v>10</v>
      </c>
      <c r="E136" s="3"/>
      <c r="F136" s="144">
        <v>42520</v>
      </c>
      <c r="G136" s="188">
        <f>30/C136</f>
        <v>0.3</v>
      </c>
    </row>
    <row r="137" spans="1:11" x14ac:dyDescent="0.25">
      <c r="A137" s="3">
        <v>10</v>
      </c>
      <c r="B137" s="74" t="s">
        <v>1065</v>
      </c>
      <c r="C137" s="73">
        <v>75</v>
      </c>
      <c r="D137" s="73">
        <v>2</v>
      </c>
      <c r="E137" s="3"/>
      <c r="F137" s="144">
        <v>42522</v>
      </c>
      <c r="G137" s="188">
        <f>17/C137</f>
        <v>0.22666666666666666</v>
      </c>
    </row>
    <row r="138" spans="1:11" x14ac:dyDescent="0.25">
      <c r="A138" s="3">
        <v>11</v>
      </c>
      <c r="B138" s="74" t="s">
        <v>1092</v>
      </c>
      <c r="C138" s="73">
        <v>54</v>
      </c>
      <c r="D138" s="73">
        <v>0</v>
      </c>
      <c r="E138" s="3"/>
      <c r="F138" s="130">
        <v>42528</v>
      </c>
      <c r="G138" s="188">
        <f>13/C138</f>
        <v>0.24074074074074073</v>
      </c>
    </row>
    <row r="139" spans="1:11" x14ac:dyDescent="0.25">
      <c r="A139" s="3">
        <v>12</v>
      </c>
      <c r="B139" s="74" t="s">
        <v>1096</v>
      </c>
      <c r="C139" s="73">
        <v>54</v>
      </c>
      <c r="D139" s="73">
        <v>4</v>
      </c>
      <c r="E139" s="3"/>
      <c r="F139" s="311">
        <v>42529</v>
      </c>
      <c r="G139" s="188">
        <f>12/C139</f>
        <v>0.22222222222222221</v>
      </c>
    </row>
    <row r="140" spans="1:11" x14ac:dyDescent="0.25">
      <c r="A140" s="3">
        <v>13</v>
      </c>
      <c r="B140" s="5" t="s">
        <v>1079</v>
      </c>
      <c r="C140" s="73">
        <v>45</v>
      </c>
      <c r="D140" s="73">
        <v>1</v>
      </c>
      <c r="E140" s="3"/>
      <c r="F140" s="311">
        <v>42536</v>
      </c>
      <c r="G140" s="188">
        <f>15/C140</f>
        <v>0.33333333333333331</v>
      </c>
    </row>
    <row r="141" spans="1:11" x14ac:dyDescent="0.25">
      <c r="A141" s="3">
        <v>14</v>
      </c>
      <c r="B141" s="128" t="s">
        <v>1075</v>
      </c>
      <c r="C141" s="73">
        <v>60</v>
      </c>
      <c r="D141" s="73">
        <v>2</v>
      </c>
      <c r="E141" s="3"/>
      <c r="F141" s="363">
        <v>42542</v>
      </c>
      <c r="G141" s="188">
        <f>20/C141</f>
        <v>0.33333333333333331</v>
      </c>
    </row>
    <row r="142" spans="1:11" x14ac:dyDescent="0.25">
      <c r="A142" s="3">
        <v>15</v>
      </c>
      <c r="B142" s="114" t="s">
        <v>1077</v>
      </c>
      <c r="C142" s="85">
        <v>60</v>
      </c>
      <c r="D142" s="58">
        <v>1</v>
      </c>
      <c r="E142" s="3"/>
      <c r="F142" s="311">
        <v>42550</v>
      </c>
      <c r="G142" s="188">
        <f>15/C142</f>
        <v>0.25</v>
      </c>
    </row>
    <row r="143" spans="1:11" x14ac:dyDescent="0.25">
      <c r="A143" s="3">
        <v>16</v>
      </c>
      <c r="B143" s="114" t="s">
        <v>1081</v>
      </c>
      <c r="C143" s="58">
        <v>100</v>
      </c>
      <c r="D143" s="58">
        <v>1</v>
      </c>
      <c r="E143" s="3"/>
      <c r="F143" s="311">
        <v>42550</v>
      </c>
      <c r="G143" s="188">
        <f>29/C143</f>
        <v>0.28999999999999998</v>
      </c>
    </row>
    <row r="144" spans="1:11" x14ac:dyDescent="0.25">
      <c r="A144" s="3">
        <v>17</v>
      </c>
      <c r="B144" s="114" t="s">
        <v>1078</v>
      </c>
      <c r="C144" s="85">
        <v>60</v>
      </c>
      <c r="D144" s="58">
        <v>2</v>
      </c>
      <c r="E144" s="3"/>
      <c r="F144" s="311">
        <v>42551</v>
      </c>
      <c r="G144" s="275" t="s">
        <v>1031</v>
      </c>
    </row>
    <row r="145" spans="1:8" x14ac:dyDescent="0.25">
      <c r="A145" s="3">
        <v>18</v>
      </c>
      <c r="B145" s="114" t="s">
        <v>1083</v>
      </c>
      <c r="C145" s="58">
        <v>100</v>
      </c>
      <c r="D145" s="58">
        <v>6</v>
      </c>
      <c r="E145" s="3"/>
      <c r="F145" s="311">
        <v>42551</v>
      </c>
      <c r="G145" s="275" t="s">
        <v>1031</v>
      </c>
    </row>
    <row r="146" spans="1:8" x14ac:dyDescent="0.25">
      <c r="A146" s="3">
        <v>19</v>
      </c>
      <c r="B146" s="114" t="s">
        <v>1089</v>
      </c>
      <c r="C146" s="58">
        <v>45</v>
      </c>
      <c r="D146" s="58">
        <v>0</v>
      </c>
      <c r="E146" s="3"/>
      <c r="F146" s="311">
        <v>42551</v>
      </c>
      <c r="G146" s="275" t="s">
        <v>1031</v>
      </c>
    </row>
    <row r="147" spans="1:8" x14ac:dyDescent="0.25">
      <c r="A147" s="7">
        <v>20</v>
      </c>
      <c r="B147" s="386" t="s">
        <v>1100</v>
      </c>
      <c r="C147" s="79">
        <v>45</v>
      </c>
      <c r="D147" s="79">
        <v>1</v>
      </c>
      <c r="E147" s="3"/>
      <c r="F147" s="385">
        <v>42555</v>
      </c>
      <c r="G147" s="275" t="s">
        <v>1031</v>
      </c>
    </row>
    <row r="148" spans="1:8" x14ac:dyDescent="0.25">
      <c r="A148" s="3">
        <v>21</v>
      </c>
      <c r="B148" s="85" t="s">
        <v>1084</v>
      </c>
      <c r="C148" s="58">
        <v>100</v>
      </c>
      <c r="D148" s="85">
        <v>4</v>
      </c>
      <c r="E148" s="3"/>
      <c r="F148" s="120">
        <v>42584</v>
      </c>
      <c r="G148" s="275" t="s">
        <v>1031</v>
      </c>
    </row>
    <row r="149" spans="1:8" x14ac:dyDescent="0.25">
      <c r="A149" s="3">
        <v>22</v>
      </c>
      <c r="B149" s="421"/>
      <c r="C149" s="128"/>
      <c r="D149" s="128"/>
      <c r="E149" s="128"/>
      <c r="F149" s="335"/>
      <c r="G149" s="1"/>
    </row>
    <row r="150" spans="1:8" x14ac:dyDescent="0.25">
      <c r="A150" s="1"/>
    </row>
    <row r="151" spans="1:8" ht="16.5" thickBot="1" x14ac:dyDescent="0.3">
      <c r="B151" s="100" t="s">
        <v>1067</v>
      </c>
      <c r="C151" s="2" t="s">
        <v>1066</v>
      </c>
    </row>
    <row r="152" spans="1:8" ht="60.75" thickBot="1" x14ac:dyDescent="0.3">
      <c r="A152" s="36" t="s">
        <v>0</v>
      </c>
      <c r="B152" s="343" t="s">
        <v>1</v>
      </c>
      <c r="C152" s="53" t="s">
        <v>94</v>
      </c>
      <c r="D152" s="53" t="s">
        <v>95</v>
      </c>
      <c r="E152" s="53" t="s">
        <v>1080</v>
      </c>
      <c r="F152" s="53" t="s">
        <v>1097</v>
      </c>
    </row>
    <row r="153" spans="1:8" x14ac:dyDescent="0.25">
      <c r="A153" s="344">
        <v>1</v>
      </c>
      <c r="B153" s="347" t="s">
        <v>1058</v>
      </c>
      <c r="C153" s="2">
        <v>45</v>
      </c>
      <c r="D153" s="347">
        <v>1</v>
      </c>
      <c r="E153" s="344">
        <v>1969</v>
      </c>
      <c r="F153" s="2" t="s">
        <v>1094</v>
      </c>
      <c r="H153" s="2">
        <v>1</v>
      </c>
    </row>
    <row r="154" spans="1:8" x14ac:dyDescent="0.25">
      <c r="A154" s="345">
        <v>2</v>
      </c>
      <c r="B154" s="348" t="s">
        <v>1068</v>
      </c>
      <c r="C154" s="2">
        <v>60</v>
      </c>
      <c r="D154" s="348">
        <v>1</v>
      </c>
      <c r="E154" s="345">
        <v>1974</v>
      </c>
      <c r="H154" s="2">
        <v>6</v>
      </c>
    </row>
    <row r="155" spans="1:8" x14ac:dyDescent="0.25">
      <c r="A155" s="345">
        <v>3</v>
      </c>
      <c r="B155" s="348" t="s">
        <v>1069</v>
      </c>
      <c r="C155" s="2">
        <v>100</v>
      </c>
      <c r="D155" s="348">
        <v>5</v>
      </c>
      <c r="E155" s="345">
        <v>1973</v>
      </c>
      <c r="H155" s="2">
        <v>5</v>
      </c>
    </row>
    <row r="156" spans="1:8" x14ac:dyDescent="0.25">
      <c r="A156" s="345">
        <v>4</v>
      </c>
      <c r="B156" s="348" t="s">
        <v>1070</v>
      </c>
      <c r="C156" s="2">
        <v>45</v>
      </c>
      <c r="D156" s="348">
        <v>2</v>
      </c>
      <c r="E156" s="345">
        <v>1978</v>
      </c>
      <c r="H156" s="2">
        <v>10</v>
      </c>
    </row>
    <row r="157" spans="1:8" x14ac:dyDescent="0.25">
      <c r="A157" s="345">
        <v>5</v>
      </c>
      <c r="B157" s="348" t="s">
        <v>1071</v>
      </c>
      <c r="C157" s="2">
        <v>100</v>
      </c>
      <c r="D157" s="348">
        <v>4</v>
      </c>
      <c r="E157" s="349">
        <v>1966</v>
      </c>
      <c r="H157" s="2">
        <v>2</v>
      </c>
    </row>
    <row r="158" spans="1:8" x14ac:dyDescent="0.25">
      <c r="A158" s="345">
        <v>6</v>
      </c>
      <c r="B158" s="348" t="s">
        <v>1072</v>
      </c>
      <c r="C158" s="2">
        <v>45</v>
      </c>
      <c r="D158" s="348">
        <v>0</v>
      </c>
      <c r="E158" s="349">
        <v>1978</v>
      </c>
      <c r="H158" s="2">
        <v>9</v>
      </c>
    </row>
    <row r="159" spans="1:8" x14ac:dyDescent="0.25">
      <c r="A159" s="345">
        <v>7</v>
      </c>
      <c r="B159" s="348" t="s">
        <v>1026</v>
      </c>
      <c r="C159" s="2">
        <v>45</v>
      </c>
      <c r="D159" s="348">
        <v>1</v>
      </c>
      <c r="E159" s="349">
        <v>1976</v>
      </c>
      <c r="F159" s="2" t="s">
        <v>1094</v>
      </c>
      <c r="H159" s="2">
        <v>7</v>
      </c>
    </row>
    <row r="160" spans="1:8" x14ac:dyDescent="0.25">
      <c r="A160" s="345">
        <v>8</v>
      </c>
      <c r="B160" s="348" t="s">
        <v>1073</v>
      </c>
      <c r="C160" s="2">
        <v>45</v>
      </c>
      <c r="D160" s="348">
        <v>1</v>
      </c>
      <c r="E160" s="349">
        <v>1976</v>
      </c>
      <c r="H160" s="2">
        <v>8</v>
      </c>
    </row>
    <row r="161" spans="1:8" x14ac:dyDescent="0.25">
      <c r="A161" s="345">
        <v>9</v>
      </c>
      <c r="B161" s="348" t="s">
        <v>1074</v>
      </c>
      <c r="C161" s="2">
        <v>50</v>
      </c>
      <c r="D161" s="348">
        <v>0</v>
      </c>
      <c r="E161" s="349">
        <v>1970</v>
      </c>
      <c r="H161" s="2">
        <v>4</v>
      </c>
    </row>
    <row r="162" spans="1:8" x14ac:dyDescent="0.25">
      <c r="A162" s="346">
        <v>10</v>
      </c>
      <c r="B162" s="322" t="s">
        <v>1075</v>
      </c>
      <c r="C162" s="128">
        <v>60</v>
      </c>
      <c r="D162" s="322">
        <v>2</v>
      </c>
      <c r="E162" s="346">
        <v>1968</v>
      </c>
      <c r="F162" s="2" t="s">
        <v>1094</v>
      </c>
      <c r="H162" s="2">
        <v>3</v>
      </c>
    </row>
    <row r="163" spans="1:8" x14ac:dyDescent="0.25">
      <c r="A163" s="345">
        <v>11</v>
      </c>
      <c r="B163" s="348" t="s">
        <v>1098</v>
      </c>
      <c r="C163" s="47">
        <v>8</v>
      </c>
      <c r="D163" s="348">
        <v>0</v>
      </c>
      <c r="E163" s="345">
        <v>1955</v>
      </c>
    </row>
    <row r="164" spans="1:8" x14ac:dyDescent="0.25">
      <c r="A164" s="345">
        <v>12</v>
      </c>
      <c r="B164" s="348" t="s">
        <v>1099</v>
      </c>
      <c r="C164" s="1">
        <v>7</v>
      </c>
      <c r="D164" s="348">
        <v>0</v>
      </c>
      <c r="E164" s="345">
        <v>1959</v>
      </c>
    </row>
    <row r="165" spans="1:8" x14ac:dyDescent="0.25">
      <c r="A165" s="346">
        <v>13</v>
      </c>
      <c r="B165" s="322" t="s">
        <v>1102</v>
      </c>
      <c r="C165" s="128"/>
      <c r="D165" s="322"/>
      <c r="E165" s="346"/>
    </row>
    <row r="166" spans="1:8" x14ac:dyDescent="0.25">
      <c r="A166" s="345">
        <v>13</v>
      </c>
      <c r="B166" s="348" t="s">
        <v>1078</v>
      </c>
      <c r="C166" s="47">
        <v>60</v>
      </c>
      <c r="D166" s="348">
        <v>2</v>
      </c>
      <c r="E166" s="345">
        <v>1970</v>
      </c>
      <c r="F166" s="2" t="s">
        <v>1094</v>
      </c>
      <c r="H166" s="2">
        <v>11</v>
      </c>
    </row>
    <row r="167" spans="1:8" x14ac:dyDescent="0.25">
      <c r="A167" s="346">
        <v>14</v>
      </c>
      <c r="B167" s="348" t="s">
        <v>1076</v>
      </c>
      <c r="C167" s="47">
        <v>60</v>
      </c>
      <c r="D167" s="348">
        <v>1</v>
      </c>
      <c r="E167" s="345">
        <v>1971</v>
      </c>
      <c r="H167" s="2">
        <v>12</v>
      </c>
    </row>
    <row r="168" spans="1:8" x14ac:dyDescent="0.25">
      <c r="A168" s="345">
        <v>15</v>
      </c>
      <c r="B168" s="348" t="s">
        <v>1077</v>
      </c>
      <c r="C168" s="47">
        <v>60</v>
      </c>
      <c r="D168" s="348">
        <v>1</v>
      </c>
      <c r="E168" s="345">
        <v>1972</v>
      </c>
      <c r="F168" s="2" t="s">
        <v>1094</v>
      </c>
      <c r="H168" s="2">
        <v>13</v>
      </c>
    </row>
    <row r="169" spans="1:8" x14ac:dyDescent="0.25">
      <c r="A169" s="346">
        <v>16</v>
      </c>
      <c r="B169" s="348" t="s">
        <v>1079</v>
      </c>
      <c r="C169" s="47">
        <v>45</v>
      </c>
      <c r="D169" s="348">
        <v>1</v>
      </c>
      <c r="E169" s="345">
        <v>1974</v>
      </c>
      <c r="F169" s="2" t="s">
        <v>1094</v>
      </c>
      <c r="H169" s="2">
        <v>14</v>
      </c>
    </row>
    <row r="170" spans="1:8" x14ac:dyDescent="0.25">
      <c r="A170" s="345">
        <v>17</v>
      </c>
      <c r="B170" s="348" t="s">
        <v>1064</v>
      </c>
      <c r="C170" s="2">
        <v>100</v>
      </c>
      <c r="D170" s="348">
        <v>10</v>
      </c>
      <c r="E170" s="345">
        <v>1972</v>
      </c>
      <c r="F170" s="2" t="s">
        <v>1094</v>
      </c>
      <c r="H170" s="2">
        <v>17</v>
      </c>
    </row>
    <row r="171" spans="1:8" x14ac:dyDescent="0.25">
      <c r="A171" s="346">
        <v>18</v>
      </c>
      <c r="B171" s="348" t="s">
        <v>1081</v>
      </c>
      <c r="C171" s="2">
        <v>100</v>
      </c>
      <c r="D171" s="348">
        <v>1</v>
      </c>
      <c r="E171" s="345">
        <v>1970</v>
      </c>
      <c r="F171" s="2" t="s">
        <v>1094</v>
      </c>
      <c r="H171" s="2">
        <v>15</v>
      </c>
    </row>
    <row r="172" spans="1:8" x14ac:dyDescent="0.25">
      <c r="A172" s="345">
        <v>19</v>
      </c>
      <c r="B172" s="348" t="s">
        <v>1083</v>
      </c>
      <c r="C172" s="2">
        <v>100</v>
      </c>
      <c r="D172" s="348">
        <v>6</v>
      </c>
      <c r="E172" s="345">
        <v>1973</v>
      </c>
      <c r="F172" s="2" t="s">
        <v>1094</v>
      </c>
      <c r="H172" s="2">
        <v>19</v>
      </c>
    </row>
    <row r="173" spans="1:8" x14ac:dyDescent="0.25">
      <c r="A173" s="346">
        <v>20</v>
      </c>
      <c r="B173" s="348" t="s">
        <v>1084</v>
      </c>
      <c r="C173" s="2">
        <v>100</v>
      </c>
      <c r="D173" s="348">
        <v>4</v>
      </c>
      <c r="E173" s="345">
        <v>1972</v>
      </c>
      <c r="F173" s="2" t="s">
        <v>1094</v>
      </c>
      <c r="H173" s="2">
        <v>18</v>
      </c>
    </row>
    <row r="174" spans="1:8" x14ac:dyDescent="0.25">
      <c r="A174" s="345">
        <v>21</v>
      </c>
      <c r="B174" s="348" t="s">
        <v>1082</v>
      </c>
      <c r="C174" s="2">
        <v>50</v>
      </c>
      <c r="D174" s="348">
        <v>5</v>
      </c>
      <c r="E174" s="345">
        <v>1971</v>
      </c>
      <c r="F174" s="2" t="s">
        <v>1094</v>
      </c>
      <c r="H174" s="2">
        <v>16</v>
      </c>
    </row>
    <row r="175" spans="1:8" x14ac:dyDescent="0.25">
      <c r="A175" s="346">
        <v>22</v>
      </c>
      <c r="B175" s="348" t="s">
        <v>1085</v>
      </c>
      <c r="C175" s="2">
        <v>45</v>
      </c>
      <c r="D175" s="348">
        <v>2</v>
      </c>
      <c r="E175" s="345">
        <v>1976</v>
      </c>
      <c r="H175" s="2">
        <v>23</v>
      </c>
    </row>
    <row r="176" spans="1:8" x14ac:dyDescent="0.25">
      <c r="A176" s="345">
        <v>23</v>
      </c>
      <c r="B176" s="348" t="s">
        <v>1086</v>
      </c>
      <c r="C176" s="2">
        <v>20</v>
      </c>
      <c r="D176" s="348">
        <v>0</v>
      </c>
      <c r="E176" s="345">
        <v>1978</v>
      </c>
      <c r="H176" s="2">
        <v>26</v>
      </c>
    </row>
    <row r="177" spans="1:8" x14ac:dyDescent="0.25">
      <c r="A177" s="346">
        <v>24</v>
      </c>
      <c r="B177" s="348" t="s">
        <v>1087</v>
      </c>
      <c r="C177" s="2">
        <v>45</v>
      </c>
      <c r="D177" s="348">
        <v>2</v>
      </c>
      <c r="E177" s="345">
        <v>1975</v>
      </c>
      <c r="H177" s="2">
        <v>20</v>
      </c>
    </row>
    <row r="178" spans="1:8" x14ac:dyDescent="0.25">
      <c r="A178" s="345">
        <v>25</v>
      </c>
      <c r="B178" s="348" t="s">
        <v>1088</v>
      </c>
      <c r="C178" s="2">
        <v>45</v>
      </c>
      <c r="D178" s="348">
        <v>0</v>
      </c>
      <c r="E178" s="345">
        <v>1976</v>
      </c>
      <c r="H178" s="2">
        <v>24</v>
      </c>
    </row>
    <row r="179" spans="1:8" x14ac:dyDescent="0.25">
      <c r="A179" s="346">
        <v>26</v>
      </c>
      <c r="B179" s="348" t="s">
        <v>1089</v>
      </c>
      <c r="C179" s="2">
        <v>45</v>
      </c>
      <c r="D179" s="348">
        <v>0</v>
      </c>
      <c r="E179" s="345">
        <v>1976</v>
      </c>
      <c r="F179" s="2" t="s">
        <v>1094</v>
      </c>
      <c r="H179" s="2">
        <v>21</v>
      </c>
    </row>
    <row r="180" spans="1:8" x14ac:dyDescent="0.25">
      <c r="A180" s="345">
        <v>27</v>
      </c>
      <c r="B180" s="348" t="s">
        <v>1065</v>
      </c>
      <c r="C180" s="2">
        <v>75</v>
      </c>
      <c r="D180" s="348">
        <v>2</v>
      </c>
      <c r="E180" s="345">
        <v>1976</v>
      </c>
      <c r="F180" s="2" t="s">
        <v>1094</v>
      </c>
      <c r="H180" s="2">
        <v>22</v>
      </c>
    </row>
    <row r="181" spans="1:8" x14ac:dyDescent="0.25">
      <c r="A181" s="346">
        <v>28</v>
      </c>
      <c r="B181" s="348" t="s">
        <v>1090</v>
      </c>
      <c r="C181" s="2">
        <v>75</v>
      </c>
      <c r="D181" s="348">
        <v>0</v>
      </c>
      <c r="E181" s="345">
        <v>1984</v>
      </c>
      <c r="H181" s="2">
        <v>28</v>
      </c>
    </row>
    <row r="182" spans="1:8" x14ac:dyDescent="0.25">
      <c r="A182" s="345">
        <v>29</v>
      </c>
      <c r="B182" s="348" t="s">
        <v>1092</v>
      </c>
      <c r="C182" s="2">
        <v>54</v>
      </c>
      <c r="D182" s="348">
        <v>0</v>
      </c>
      <c r="E182" s="345">
        <v>1977</v>
      </c>
      <c r="F182" s="2" t="s">
        <v>1094</v>
      </c>
      <c r="H182" s="2">
        <v>25</v>
      </c>
    </row>
    <row r="183" spans="1:8" x14ac:dyDescent="0.25">
      <c r="A183" s="346">
        <v>30</v>
      </c>
      <c r="B183" s="322" t="s">
        <v>1091</v>
      </c>
      <c r="C183" s="128">
        <v>54</v>
      </c>
      <c r="D183" s="322">
        <v>1</v>
      </c>
      <c r="E183" s="346">
        <v>1978</v>
      </c>
      <c r="H183" s="2">
        <v>27</v>
      </c>
    </row>
  </sheetData>
  <mergeCells count="3">
    <mergeCell ref="A1:B1"/>
    <mergeCell ref="A36:B36"/>
    <mergeCell ref="A56:B56"/>
  </mergeCells>
  <pageMargins left="0.7" right="0.7" top="0.75" bottom="0.75" header="0.3" footer="0.3"/>
  <pageSetup paperSize="9" scale="80" fitToHeight="0" orientation="landscape" r:id="rId1"/>
  <rowBreaks count="3" manualBreakCount="3">
    <brk id="35" max="18" man="1"/>
    <brk id="75" max="18" man="1"/>
    <brk id="12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6"/>
  <sheetViews>
    <sheetView topLeftCell="A52" workbookViewId="0">
      <selection activeCell="L44" sqref="L44"/>
    </sheetView>
  </sheetViews>
  <sheetFormatPr defaultRowHeight="15" x14ac:dyDescent="0.25"/>
  <cols>
    <col min="1" max="1" width="4.28515625" style="2" customWidth="1"/>
    <col min="2" max="2" width="24.140625" style="2" customWidth="1"/>
    <col min="3" max="3" width="7.85546875" style="2" customWidth="1"/>
    <col min="4" max="4" width="9.140625" style="2" customWidth="1"/>
    <col min="5" max="5" width="9.5703125" style="2" hidden="1" customWidth="1"/>
    <col min="6" max="6" width="10.5703125" style="2" customWidth="1"/>
    <col min="7" max="7" width="10.42578125" style="2" customWidth="1"/>
    <col min="8" max="8" width="7.28515625" style="2" customWidth="1"/>
    <col min="11" max="11" width="9.28515625" customWidth="1"/>
  </cols>
  <sheetData>
    <row r="1" spans="1:15" ht="16.5" thickBot="1" x14ac:dyDescent="0.3">
      <c r="D1" s="90" t="s">
        <v>491</v>
      </c>
      <c r="G1" s="90"/>
    </row>
    <row r="2" spans="1:15" ht="39" thickBot="1" x14ac:dyDescent="0.3">
      <c r="A2" s="266" t="s">
        <v>0</v>
      </c>
      <c r="B2" s="290" t="s">
        <v>1</v>
      </c>
      <c r="C2" s="290" t="s">
        <v>94</v>
      </c>
      <c r="D2" s="290" t="s">
        <v>95</v>
      </c>
      <c r="E2" s="290" t="s">
        <v>102</v>
      </c>
      <c r="F2" s="290" t="s">
        <v>2</v>
      </c>
      <c r="G2" s="290" t="s">
        <v>69</v>
      </c>
      <c r="H2" s="290" t="s">
        <v>3</v>
      </c>
      <c r="I2" s="291" t="s">
        <v>73</v>
      </c>
      <c r="J2" s="291" t="s">
        <v>387</v>
      </c>
      <c r="K2" s="291" t="s">
        <v>388</v>
      </c>
    </row>
    <row r="3" spans="1:15" x14ac:dyDescent="0.25">
      <c r="A3" s="22">
        <v>1</v>
      </c>
      <c r="B3" s="103" t="s">
        <v>54</v>
      </c>
      <c r="C3" s="103">
        <v>65</v>
      </c>
      <c r="D3" s="126">
        <v>5</v>
      </c>
      <c r="E3" s="103" t="s">
        <v>137</v>
      </c>
      <c r="F3" s="238">
        <v>41606</v>
      </c>
      <c r="G3" s="239">
        <f>38/65</f>
        <v>0.58461538461538465</v>
      </c>
      <c r="H3" s="103" t="s">
        <v>68</v>
      </c>
      <c r="I3" s="73" t="s">
        <v>68</v>
      </c>
      <c r="J3" s="146" t="s">
        <v>68</v>
      </c>
      <c r="K3" s="103" t="s">
        <v>68</v>
      </c>
      <c r="M3" s="1"/>
      <c r="N3" s="1"/>
      <c r="O3" s="1"/>
    </row>
    <row r="4" spans="1:15" x14ac:dyDescent="0.25">
      <c r="A4" s="22">
        <v>2</v>
      </c>
      <c r="B4" s="73" t="s">
        <v>87</v>
      </c>
      <c r="C4" s="73">
        <v>45</v>
      </c>
      <c r="D4" s="89">
        <v>1</v>
      </c>
      <c r="E4" s="195" t="s">
        <v>204</v>
      </c>
      <c r="F4" s="130">
        <v>41969</v>
      </c>
      <c r="G4" s="188">
        <f>25/C4</f>
        <v>0.55555555555555558</v>
      </c>
      <c r="H4" s="73" t="s">
        <v>68</v>
      </c>
      <c r="I4" s="73" t="s">
        <v>68</v>
      </c>
      <c r="J4" s="146" t="s">
        <v>68</v>
      </c>
      <c r="K4" s="73"/>
      <c r="M4" s="1"/>
      <c r="N4" s="47"/>
      <c r="O4" s="1"/>
    </row>
    <row r="5" spans="1:15" x14ac:dyDescent="0.25">
      <c r="A5" s="22">
        <v>3</v>
      </c>
      <c r="B5" s="73" t="s">
        <v>477</v>
      </c>
      <c r="C5" s="73">
        <v>45</v>
      </c>
      <c r="D5" s="89">
        <v>0</v>
      </c>
      <c r="E5" s="77" t="s">
        <v>159</v>
      </c>
      <c r="F5" s="130">
        <v>41940</v>
      </c>
      <c r="G5" s="188">
        <f>26/C5</f>
        <v>0.57777777777777772</v>
      </c>
      <c r="H5" s="73" t="s">
        <v>68</v>
      </c>
      <c r="I5" s="73" t="s">
        <v>68</v>
      </c>
      <c r="J5" s="240" t="s">
        <v>68</v>
      </c>
      <c r="K5" s="73"/>
      <c r="M5" s="1"/>
      <c r="N5" s="1"/>
      <c r="O5" s="1"/>
    </row>
    <row r="6" spans="1:15" x14ac:dyDescent="0.25">
      <c r="A6" s="22">
        <v>4</v>
      </c>
      <c r="B6" s="73" t="s">
        <v>478</v>
      </c>
      <c r="C6" s="73">
        <v>45</v>
      </c>
      <c r="D6" s="89">
        <v>0</v>
      </c>
      <c r="E6" s="73" t="s">
        <v>156</v>
      </c>
      <c r="F6" s="130">
        <v>41663</v>
      </c>
      <c r="G6" s="168">
        <f>32/45</f>
        <v>0.71111111111111114</v>
      </c>
      <c r="H6" s="77" t="s">
        <v>68</v>
      </c>
      <c r="I6" s="77" t="s">
        <v>68</v>
      </c>
      <c r="J6" s="200" t="s">
        <v>68</v>
      </c>
      <c r="K6" s="73" t="s">
        <v>68</v>
      </c>
    </row>
    <row r="7" spans="1:15" x14ac:dyDescent="0.25">
      <c r="A7" s="22">
        <v>5</v>
      </c>
      <c r="B7" s="73" t="s">
        <v>81</v>
      </c>
      <c r="C7" s="73">
        <v>75</v>
      </c>
      <c r="D7" s="89">
        <v>1</v>
      </c>
      <c r="E7" s="195" t="s">
        <v>200</v>
      </c>
      <c r="F7" s="130">
        <v>41906</v>
      </c>
      <c r="G7" s="188">
        <f>46/C7</f>
        <v>0.61333333333333329</v>
      </c>
      <c r="H7" s="73" t="s">
        <v>68</v>
      </c>
      <c r="I7" s="73" t="s">
        <v>68</v>
      </c>
      <c r="J7" s="146" t="s">
        <v>68</v>
      </c>
      <c r="K7" s="240" t="s">
        <v>68</v>
      </c>
    </row>
    <row r="8" spans="1:15" x14ac:dyDescent="0.25">
      <c r="A8" s="22">
        <v>6</v>
      </c>
      <c r="B8" s="73" t="s">
        <v>103</v>
      </c>
      <c r="C8" s="73">
        <v>45</v>
      </c>
      <c r="D8" s="89">
        <v>0</v>
      </c>
      <c r="E8" s="73" t="s">
        <v>213</v>
      </c>
      <c r="F8" s="144">
        <v>42170</v>
      </c>
      <c r="G8" s="201">
        <f>29/C8</f>
        <v>0.64444444444444449</v>
      </c>
      <c r="H8" s="73" t="s">
        <v>68</v>
      </c>
      <c r="I8" s="73" t="s">
        <v>68</v>
      </c>
      <c r="J8" s="275"/>
      <c r="K8" s="7"/>
    </row>
    <row r="9" spans="1:15" x14ac:dyDescent="0.25">
      <c r="A9" s="22">
        <v>7</v>
      </c>
      <c r="B9" s="73" t="s">
        <v>28</v>
      </c>
      <c r="C9" s="73">
        <v>22</v>
      </c>
      <c r="D9" s="89">
        <v>0</v>
      </c>
      <c r="E9" s="73" t="s">
        <v>154</v>
      </c>
      <c r="F9" s="130">
        <v>42611</v>
      </c>
      <c r="G9" s="145">
        <f>14/C9</f>
        <v>0.63636363636363635</v>
      </c>
      <c r="H9" s="73" t="s">
        <v>68</v>
      </c>
      <c r="I9" s="73" t="s">
        <v>68</v>
      </c>
      <c r="J9" s="146"/>
      <c r="K9" s="73"/>
    </row>
    <row r="10" spans="1:15" x14ac:dyDescent="0.25">
      <c r="A10" s="22">
        <v>8</v>
      </c>
      <c r="B10" s="73" t="s">
        <v>20</v>
      </c>
      <c r="C10" s="73">
        <v>54</v>
      </c>
      <c r="D10" s="89">
        <v>2</v>
      </c>
      <c r="E10" s="102" t="s">
        <v>153</v>
      </c>
      <c r="F10" s="130">
        <v>41764</v>
      </c>
      <c r="G10" s="145">
        <v>0.63</v>
      </c>
      <c r="H10" s="73" t="s">
        <v>68</v>
      </c>
      <c r="I10" s="102" t="s">
        <v>68</v>
      </c>
      <c r="J10" s="146" t="s">
        <v>68</v>
      </c>
      <c r="K10" s="73" t="s">
        <v>68</v>
      </c>
    </row>
    <row r="11" spans="1:15" x14ac:dyDescent="0.25">
      <c r="A11" s="22">
        <v>9</v>
      </c>
      <c r="B11" s="73" t="s">
        <v>36</v>
      </c>
      <c r="C11" s="73">
        <v>30</v>
      </c>
      <c r="D11" s="89">
        <v>1</v>
      </c>
      <c r="E11" s="73" t="s">
        <v>152</v>
      </c>
      <c r="F11" s="130">
        <v>41603</v>
      </c>
      <c r="G11" s="145">
        <f>21/30</f>
        <v>0.7</v>
      </c>
      <c r="H11" s="73" t="s">
        <v>68</v>
      </c>
      <c r="I11" s="73" t="s">
        <v>68</v>
      </c>
      <c r="J11" s="146" t="s">
        <v>68</v>
      </c>
      <c r="K11" s="240"/>
    </row>
    <row r="12" spans="1:15" x14ac:dyDescent="0.25">
      <c r="A12" s="22">
        <v>10</v>
      </c>
      <c r="B12" s="73" t="s">
        <v>22</v>
      </c>
      <c r="C12" s="73">
        <v>75</v>
      </c>
      <c r="D12" s="89">
        <v>2</v>
      </c>
      <c r="E12" s="73" t="s">
        <v>151</v>
      </c>
      <c r="F12" s="130">
        <v>41764</v>
      </c>
      <c r="G12" s="145">
        <f>47/75</f>
        <v>0.62666666666666671</v>
      </c>
      <c r="H12" s="73" t="s">
        <v>68</v>
      </c>
      <c r="I12" s="73" t="s">
        <v>68</v>
      </c>
      <c r="J12" s="146" t="s">
        <v>68</v>
      </c>
      <c r="K12" s="73" t="s">
        <v>68</v>
      </c>
    </row>
    <row r="13" spans="1:15" x14ac:dyDescent="0.25">
      <c r="A13" s="22">
        <v>11</v>
      </c>
      <c r="B13" s="73" t="s">
        <v>93</v>
      </c>
      <c r="C13" s="73">
        <v>40</v>
      </c>
      <c r="D13" s="89">
        <v>0</v>
      </c>
      <c r="E13" s="195" t="s">
        <v>208</v>
      </c>
      <c r="F13" s="130">
        <v>41942</v>
      </c>
      <c r="G13" s="188">
        <f>23/C13</f>
        <v>0.57499999999999996</v>
      </c>
      <c r="H13" s="73" t="s">
        <v>68</v>
      </c>
      <c r="I13" s="73" t="s">
        <v>68</v>
      </c>
      <c r="J13" s="330" t="s">
        <v>68</v>
      </c>
      <c r="K13" s="240"/>
    </row>
    <row r="14" spans="1:15" x14ac:dyDescent="0.25">
      <c r="A14" s="22">
        <v>12</v>
      </c>
      <c r="B14" s="73" t="s">
        <v>485</v>
      </c>
      <c r="C14" s="73">
        <v>20</v>
      </c>
      <c r="D14" s="89">
        <v>0</v>
      </c>
      <c r="E14" s="73" t="s">
        <v>150</v>
      </c>
      <c r="F14" s="130">
        <v>41617</v>
      </c>
      <c r="G14" s="145">
        <f>12/20</f>
        <v>0.6</v>
      </c>
      <c r="H14" s="73" t="s">
        <v>68</v>
      </c>
      <c r="I14" s="73" t="s">
        <v>68</v>
      </c>
      <c r="J14" s="146" t="s">
        <v>68</v>
      </c>
      <c r="K14" s="240"/>
    </row>
    <row r="15" spans="1:15" x14ac:dyDescent="0.25">
      <c r="A15" s="22">
        <v>13</v>
      </c>
      <c r="B15" s="73" t="s">
        <v>85</v>
      </c>
      <c r="C15" s="73">
        <v>45</v>
      </c>
      <c r="D15" s="89">
        <v>0</v>
      </c>
      <c r="E15" s="73" t="s">
        <v>160</v>
      </c>
      <c r="F15" s="130">
        <v>42039</v>
      </c>
      <c r="G15" s="188">
        <f>27/C15</f>
        <v>0.6</v>
      </c>
      <c r="H15" s="73" t="s">
        <v>68</v>
      </c>
      <c r="I15" s="73" t="s">
        <v>68</v>
      </c>
      <c r="J15" s="73" t="s">
        <v>68</v>
      </c>
      <c r="K15" s="240"/>
    </row>
    <row r="16" spans="1:15" s="2" customFormat="1" x14ac:dyDescent="0.25">
      <c r="A16" s="22">
        <v>14</v>
      </c>
      <c r="B16" s="77" t="s">
        <v>82</v>
      </c>
      <c r="C16" s="73">
        <v>45</v>
      </c>
      <c r="D16" s="89">
        <v>0</v>
      </c>
      <c r="E16" s="73" t="s">
        <v>164</v>
      </c>
      <c r="F16" s="164">
        <v>42431</v>
      </c>
      <c r="G16" s="188">
        <f>31/45</f>
        <v>0.68888888888888888</v>
      </c>
      <c r="H16" s="73" t="s">
        <v>68</v>
      </c>
      <c r="I16" s="73" t="s">
        <v>68</v>
      </c>
      <c r="J16" s="47"/>
      <c r="K16" s="240"/>
    </row>
    <row r="17" spans="1:11" x14ac:dyDescent="0.25">
      <c r="A17" s="22">
        <v>15</v>
      </c>
      <c r="B17" s="73" t="s">
        <v>80</v>
      </c>
      <c r="C17" s="73">
        <v>30</v>
      </c>
      <c r="D17" s="89">
        <v>0</v>
      </c>
      <c r="E17" s="195" t="s">
        <v>196</v>
      </c>
      <c r="F17" s="130">
        <v>41905</v>
      </c>
      <c r="G17" s="188">
        <f>20/C17</f>
        <v>0.66666666666666663</v>
      </c>
      <c r="H17" s="73" t="s">
        <v>68</v>
      </c>
      <c r="I17" s="73" t="s">
        <v>68</v>
      </c>
      <c r="J17" s="146" t="s">
        <v>68</v>
      </c>
      <c r="K17" s="240"/>
    </row>
    <row r="18" spans="1:11" x14ac:dyDescent="0.25">
      <c r="A18" s="22">
        <v>16</v>
      </c>
      <c r="B18" s="77" t="s">
        <v>23</v>
      </c>
      <c r="C18" s="73">
        <v>30</v>
      </c>
      <c r="D18" s="89">
        <v>0</v>
      </c>
      <c r="E18" s="73" t="s">
        <v>148</v>
      </c>
      <c r="F18" s="164">
        <v>41765</v>
      </c>
      <c r="G18" s="165">
        <f>19/30</f>
        <v>0.6333333333333333</v>
      </c>
      <c r="H18" s="77" t="s">
        <v>68</v>
      </c>
      <c r="I18" s="73" t="s">
        <v>68</v>
      </c>
      <c r="J18" s="146" t="s">
        <v>68</v>
      </c>
      <c r="K18" s="73" t="s">
        <v>68</v>
      </c>
    </row>
    <row r="19" spans="1:11" x14ac:dyDescent="0.25">
      <c r="A19" s="22">
        <v>17</v>
      </c>
      <c r="B19" s="77" t="s">
        <v>35</v>
      </c>
      <c r="C19" s="73">
        <v>40</v>
      </c>
      <c r="D19" s="89">
        <v>1</v>
      </c>
      <c r="E19" s="73" t="s">
        <v>100</v>
      </c>
      <c r="F19" s="164">
        <v>41604</v>
      </c>
      <c r="G19" s="165">
        <f>23/40</f>
        <v>0.57499999999999996</v>
      </c>
      <c r="H19" s="77" t="s">
        <v>68</v>
      </c>
      <c r="I19" s="73" t="s">
        <v>68</v>
      </c>
      <c r="J19" s="146" t="s">
        <v>68</v>
      </c>
      <c r="K19" s="73" t="s">
        <v>68</v>
      </c>
    </row>
    <row r="20" spans="1:11" x14ac:dyDescent="0.25">
      <c r="A20" s="22">
        <v>18</v>
      </c>
      <c r="B20" s="77" t="s">
        <v>490</v>
      </c>
      <c r="C20" s="73">
        <v>40</v>
      </c>
      <c r="D20" s="89">
        <v>1</v>
      </c>
      <c r="E20" s="195" t="s">
        <v>209</v>
      </c>
      <c r="F20" s="75">
        <v>42620</v>
      </c>
      <c r="G20" s="188">
        <f>24/C20</f>
        <v>0.6</v>
      </c>
      <c r="H20" s="77" t="s">
        <v>68</v>
      </c>
      <c r="I20" s="73" t="s">
        <v>68</v>
      </c>
      <c r="J20" s="146"/>
      <c r="K20" s="73"/>
    </row>
    <row r="21" spans="1:11" x14ac:dyDescent="0.25">
      <c r="A21" s="22">
        <v>19</v>
      </c>
      <c r="B21" s="77" t="s">
        <v>105</v>
      </c>
      <c r="C21" s="73">
        <v>54</v>
      </c>
      <c r="D21" s="89">
        <v>0</v>
      </c>
      <c r="E21" s="73" t="s">
        <v>216</v>
      </c>
      <c r="F21" s="164">
        <v>42627</v>
      </c>
      <c r="G21" s="241">
        <f>34/C21</f>
        <v>0.62962962962962965</v>
      </c>
      <c r="H21" s="77" t="s">
        <v>68</v>
      </c>
      <c r="I21" s="73" t="s">
        <v>68</v>
      </c>
      <c r="J21" s="146"/>
      <c r="K21" s="73"/>
    </row>
    <row r="22" spans="1:11" x14ac:dyDescent="0.25">
      <c r="A22" s="22">
        <v>20</v>
      </c>
      <c r="B22" s="73" t="s">
        <v>92</v>
      </c>
      <c r="C22" s="73">
        <v>30</v>
      </c>
      <c r="D22" s="89">
        <v>1</v>
      </c>
      <c r="E22" s="195" t="s">
        <v>173</v>
      </c>
      <c r="F22" s="75">
        <v>42620</v>
      </c>
      <c r="G22" s="188">
        <f>18/C22</f>
        <v>0.6</v>
      </c>
      <c r="H22" s="73" t="s">
        <v>68</v>
      </c>
      <c r="I22" s="73" t="s">
        <v>68</v>
      </c>
      <c r="J22" s="146"/>
      <c r="K22" s="73"/>
    </row>
    <row r="23" spans="1:11" x14ac:dyDescent="0.25">
      <c r="A23" s="22">
        <v>21</v>
      </c>
      <c r="B23" s="102" t="s">
        <v>48</v>
      </c>
      <c r="C23" s="102">
        <v>45</v>
      </c>
      <c r="D23" s="129">
        <v>1</v>
      </c>
      <c r="E23" s="102" t="s">
        <v>147</v>
      </c>
      <c r="F23" s="144">
        <v>41599</v>
      </c>
      <c r="G23" s="243">
        <f>26/45</f>
        <v>0.57777777777777772</v>
      </c>
      <c r="H23" s="102" t="s">
        <v>68</v>
      </c>
      <c r="I23" s="73" t="s">
        <v>68</v>
      </c>
      <c r="J23" s="146" t="s">
        <v>68</v>
      </c>
      <c r="K23" s="73" t="s">
        <v>68</v>
      </c>
    </row>
    <row r="24" spans="1:11" x14ac:dyDescent="0.25">
      <c r="A24" s="22">
        <v>22</v>
      </c>
      <c r="B24" s="73" t="s">
        <v>40</v>
      </c>
      <c r="C24" s="73">
        <v>22</v>
      </c>
      <c r="D24" s="89">
        <v>22</v>
      </c>
      <c r="E24" s="73" t="s">
        <v>144</v>
      </c>
      <c r="F24" s="130">
        <v>41617</v>
      </c>
      <c r="G24" s="145">
        <f>22/22</f>
        <v>1</v>
      </c>
      <c r="H24" s="73" t="s">
        <v>68</v>
      </c>
      <c r="I24" s="73" t="s">
        <v>68</v>
      </c>
      <c r="J24" s="146" t="s">
        <v>68</v>
      </c>
      <c r="K24" s="73" t="s">
        <v>68</v>
      </c>
    </row>
    <row r="25" spans="1:11" x14ac:dyDescent="0.25">
      <c r="A25" s="22">
        <v>23</v>
      </c>
      <c r="B25" s="77" t="s">
        <v>25</v>
      </c>
      <c r="C25" s="73">
        <v>18</v>
      </c>
      <c r="D25" s="89">
        <v>2</v>
      </c>
      <c r="E25" s="73" t="s">
        <v>143</v>
      </c>
      <c r="F25" s="164">
        <v>41596</v>
      </c>
      <c r="G25" s="165">
        <f>11/18</f>
        <v>0.61111111111111116</v>
      </c>
      <c r="H25" s="73" t="s">
        <v>68</v>
      </c>
      <c r="I25" s="73" t="s">
        <v>68</v>
      </c>
      <c r="J25" s="146" t="s">
        <v>68</v>
      </c>
      <c r="K25" s="73" t="s">
        <v>68</v>
      </c>
    </row>
    <row r="26" spans="1:11" x14ac:dyDescent="0.25">
      <c r="A26" s="22">
        <v>24</v>
      </c>
      <c r="B26" s="77" t="s">
        <v>65</v>
      </c>
      <c r="C26" s="77">
        <v>20</v>
      </c>
      <c r="D26" s="246">
        <v>0</v>
      </c>
      <c r="E26" s="77" t="s">
        <v>163</v>
      </c>
      <c r="F26" s="164">
        <v>41583</v>
      </c>
      <c r="G26" s="165">
        <f>SUM(12/20)</f>
        <v>0.6</v>
      </c>
      <c r="H26" s="77" t="s">
        <v>68</v>
      </c>
      <c r="I26" s="77" t="s">
        <v>68</v>
      </c>
      <c r="J26" s="200" t="s">
        <v>68</v>
      </c>
      <c r="K26" s="73" t="s">
        <v>68</v>
      </c>
    </row>
    <row r="27" spans="1:11" s="2" customFormat="1" x14ac:dyDescent="0.25">
      <c r="A27" s="22">
        <v>25</v>
      </c>
      <c r="B27" s="73" t="s">
        <v>220</v>
      </c>
      <c r="C27" s="146">
        <v>5</v>
      </c>
      <c r="D27" s="73">
        <v>5</v>
      </c>
      <c r="E27" s="89" t="s">
        <v>238</v>
      </c>
      <c r="F27" s="130">
        <v>42628</v>
      </c>
      <c r="G27" s="188">
        <f>5/C27</f>
        <v>1</v>
      </c>
      <c r="H27" s="391" t="s">
        <v>68</v>
      </c>
      <c r="I27" s="5" t="s">
        <v>68</v>
      </c>
      <c r="J27" s="200"/>
      <c r="K27" s="73"/>
    </row>
    <row r="28" spans="1:11" x14ac:dyDescent="0.25">
      <c r="A28" s="22">
        <v>26</v>
      </c>
      <c r="B28" s="240" t="s">
        <v>60</v>
      </c>
      <c r="C28" s="102">
        <v>50</v>
      </c>
      <c r="D28" s="129">
        <v>4</v>
      </c>
      <c r="E28" s="102" t="s">
        <v>141</v>
      </c>
      <c r="F28" s="54">
        <v>41613</v>
      </c>
      <c r="G28" s="242">
        <f>30/50</f>
        <v>0.6</v>
      </c>
      <c r="H28" s="102" t="s">
        <v>68</v>
      </c>
      <c r="I28" s="102" t="s">
        <v>68</v>
      </c>
      <c r="J28" s="146" t="s">
        <v>68</v>
      </c>
      <c r="K28" s="240"/>
    </row>
    <row r="29" spans="1:11" x14ac:dyDescent="0.25">
      <c r="A29" s="22">
        <v>27</v>
      </c>
      <c r="B29" s="77" t="s">
        <v>9</v>
      </c>
      <c r="C29" s="73">
        <v>50</v>
      </c>
      <c r="D29" s="89">
        <v>4</v>
      </c>
      <c r="E29" s="195" t="s">
        <v>181</v>
      </c>
      <c r="F29" s="164">
        <v>41953</v>
      </c>
      <c r="G29" s="165">
        <f>34/C29</f>
        <v>0.68</v>
      </c>
      <c r="H29" s="77" t="s">
        <v>68</v>
      </c>
      <c r="I29" s="73" t="s">
        <v>68</v>
      </c>
      <c r="J29" s="146" t="s">
        <v>68</v>
      </c>
      <c r="K29" s="73" t="s">
        <v>68</v>
      </c>
    </row>
    <row r="30" spans="1:11" x14ac:dyDescent="0.25">
      <c r="A30" s="22">
        <v>28</v>
      </c>
      <c r="B30" s="77" t="s">
        <v>41</v>
      </c>
      <c r="C30" s="73">
        <v>44</v>
      </c>
      <c r="D30" s="89">
        <v>1</v>
      </c>
      <c r="E30" s="73" t="s">
        <v>139</v>
      </c>
      <c r="F30" s="164">
        <v>41592</v>
      </c>
      <c r="G30" s="165">
        <f>27/44</f>
        <v>0.61363636363636365</v>
      </c>
      <c r="H30" s="77" t="s">
        <v>68</v>
      </c>
      <c r="I30" s="73" t="s">
        <v>68</v>
      </c>
      <c r="J30" s="146" t="s">
        <v>68</v>
      </c>
      <c r="K30" s="73" t="s">
        <v>68</v>
      </c>
    </row>
    <row r="31" spans="1:11" x14ac:dyDescent="0.25">
      <c r="A31" s="22">
        <v>29</v>
      </c>
      <c r="B31" s="77" t="s">
        <v>56</v>
      </c>
      <c r="C31" s="73">
        <v>25</v>
      </c>
      <c r="D31" s="89">
        <v>0</v>
      </c>
      <c r="E31" s="73" t="s">
        <v>138</v>
      </c>
      <c r="F31" s="164">
        <v>41612</v>
      </c>
      <c r="G31" s="165">
        <f>14/24</f>
        <v>0.58333333333333337</v>
      </c>
      <c r="H31" s="77" t="s">
        <v>68</v>
      </c>
      <c r="I31" s="73" t="s">
        <v>68</v>
      </c>
      <c r="J31" s="146" t="s">
        <v>68</v>
      </c>
      <c r="K31" s="73" t="s">
        <v>68</v>
      </c>
    </row>
    <row r="32" spans="1:11" x14ac:dyDescent="0.25">
      <c r="A32" s="22">
        <v>30</v>
      </c>
      <c r="B32" s="73" t="s">
        <v>79</v>
      </c>
      <c r="C32" s="146">
        <v>45</v>
      </c>
      <c r="D32" s="73">
        <v>4</v>
      </c>
      <c r="E32" s="154" t="s">
        <v>161</v>
      </c>
      <c r="F32" s="140">
        <v>41857</v>
      </c>
      <c r="G32" s="241">
        <f>26/45</f>
        <v>0.57777777777777772</v>
      </c>
      <c r="H32" s="73" t="s">
        <v>68</v>
      </c>
      <c r="I32" s="73" t="s">
        <v>68</v>
      </c>
      <c r="J32" s="330" t="s">
        <v>68</v>
      </c>
      <c r="K32" s="240"/>
    </row>
    <row r="33" spans="1:11" x14ac:dyDescent="0.25">
      <c r="A33" s="22">
        <v>31</v>
      </c>
      <c r="B33" s="73" t="s">
        <v>27</v>
      </c>
      <c r="C33" s="146">
        <v>72</v>
      </c>
      <c r="D33" s="73">
        <v>2</v>
      </c>
      <c r="E33" s="154" t="s">
        <v>101</v>
      </c>
      <c r="F33" s="140">
        <v>41611</v>
      </c>
      <c r="G33" s="165">
        <f>44/72</f>
        <v>0.61111111111111116</v>
      </c>
      <c r="H33" s="73" t="s">
        <v>68</v>
      </c>
      <c r="I33" s="73" t="s">
        <v>68</v>
      </c>
      <c r="J33" s="146" t="s">
        <v>68</v>
      </c>
      <c r="K33" s="73" t="s">
        <v>68</v>
      </c>
    </row>
    <row r="34" spans="1:11" x14ac:dyDescent="0.25">
      <c r="A34" s="22">
        <v>32</v>
      </c>
      <c r="B34" s="73" t="s">
        <v>7</v>
      </c>
      <c r="C34" s="146">
        <v>45</v>
      </c>
      <c r="D34" s="73">
        <v>0</v>
      </c>
      <c r="E34" s="177" t="s">
        <v>190</v>
      </c>
      <c r="F34" s="140">
        <v>41890</v>
      </c>
      <c r="G34" s="165">
        <f>33/C34</f>
        <v>0.73333333333333328</v>
      </c>
      <c r="H34" s="73" t="s">
        <v>68</v>
      </c>
      <c r="I34" s="73" t="s">
        <v>68</v>
      </c>
      <c r="J34" s="146" t="s">
        <v>68</v>
      </c>
      <c r="K34" s="73" t="s">
        <v>68</v>
      </c>
    </row>
    <row r="35" spans="1:11" x14ac:dyDescent="0.25">
      <c r="A35" s="22">
        <v>33</v>
      </c>
      <c r="B35" s="77" t="s">
        <v>1033</v>
      </c>
      <c r="C35" s="77">
        <v>75</v>
      </c>
      <c r="D35" s="246">
        <v>2</v>
      </c>
      <c r="E35" s="274" t="s">
        <v>199</v>
      </c>
      <c r="F35" s="164">
        <v>41906</v>
      </c>
      <c r="G35" s="241">
        <f>45/C35</f>
        <v>0.6</v>
      </c>
      <c r="H35" s="77" t="s">
        <v>68</v>
      </c>
      <c r="I35" s="77" t="s">
        <v>68</v>
      </c>
      <c r="J35" s="200" t="s">
        <v>68</v>
      </c>
      <c r="K35" s="73" t="s">
        <v>68</v>
      </c>
    </row>
    <row r="36" spans="1:11" x14ac:dyDescent="0.25">
      <c r="A36" s="22">
        <v>34</v>
      </c>
      <c r="B36" s="73" t="s">
        <v>52</v>
      </c>
      <c r="C36" s="146">
        <v>40</v>
      </c>
      <c r="D36" s="73">
        <v>0</v>
      </c>
      <c r="E36" s="146" t="s">
        <v>136</v>
      </c>
      <c r="F36" s="140">
        <v>41612</v>
      </c>
      <c r="G36" s="145">
        <f>24/40</f>
        <v>0.6</v>
      </c>
      <c r="H36" s="73" t="s">
        <v>68</v>
      </c>
      <c r="I36" s="73" t="s">
        <v>68</v>
      </c>
      <c r="J36" s="146" t="s">
        <v>68</v>
      </c>
      <c r="K36" s="73" t="s">
        <v>68</v>
      </c>
    </row>
    <row r="37" spans="1:11" x14ac:dyDescent="0.25">
      <c r="A37" s="22">
        <v>35</v>
      </c>
      <c r="B37" s="102" t="s">
        <v>29</v>
      </c>
      <c r="C37" s="154">
        <v>72</v>
      </c>
      <c r="D37" s="102">
        <v>6</v>
      </c>
      <c r="E37" s="154" t="s">
        <v>135</v>
      </c>
      <c r="F37" s="190">
        <v>41598</v>
      </c>
      <c r="G37" s="242">
        <f>40/72</f>
        <v>0.55555555555555558</v>
      </c>
      <c r="H37" s="102" t="s">
        <v>68</v>
      </c>
      <c r="I37" s="102" t="s">
        <v>68</v>
      </c>
      <c r="J37" s="154" t="s">
        <v>68</v>
      </c>
      <c r="K37" s="73" t="s">
        <v>68</v>
      </c>
    </row>
    <row r="38" spans="1:11" x14ac:dyDescent="0.25">
      <c r="A38" s="22">
        <v>36</v>
      </c>
      <c r="B38" s="73" t="s">
        <v>11</v>
      </c>
      <c r="C38" s="146">
        <v>60</v>
      </c>
      <c r="D38" s="73">
        <v>4</v>
      </c>
      <c r="E38" s="177" t="s">
        <v>185</v>
      </c>
      <c r="F38" s="140">
        <v>41892</v>
      </c>
      <c r="G38" s="165">
        <f>36/C38</f>
        <v>0.6</v>
      </c>
      <c r="H38" s="73" t="s">
        <v>68</v>
      </c>
      <c r="I38" s="73" t="s">
        <v>68</v>
      </c>
      <c r="J38" s="146" t="s">
        <v>68</v>
      </c>
      <c r="K38" s="73" t="s">
        <v>68</v>
      </c>
    </row>
    <row r="39" spans="1:11" x14ac:dyDescent="0.25">
      <c r="A39" s="22">
        <v>37</v>
      </c>
      <c r="B39" s="73" t="s">
        <v>86</v>
      </c>
      <c r="C39" s="146">
        <v>60</v>
      </c>
      <c r="D39" s="73">
        <v>4</v>
      </c>
      <c r="E39" s="177" t="s">
        <v>207</v>
      </c>
      <c r="F39" s="140">
        <v>42046</v>
      </c>
      <c r="G39" s="188">
        <f>35/C39</f>
        <v>0.58333333333333337</v>
      </c>
      <c r="H39" s="73" t="s">
        <v>68</v>
      </c>
      <c r="I39" s="73" t="s">
        <v>68</v>
      </c>
      <c r="J39" s="146" t="s">
        <v>68</v>
      </c>
      <c r="K39" s="73"/>
    </row>
    <row r="40" spans="1:11" s="2" customFormat="1" x14ac:dyDescent="0.25">
      <c r="A40" s="22">
        <v>38</v>
      </c>
      <c r="B40" s="73" t="s">
        <v>217</v>
      </c>
      <c r="C40" s="146">
        <v>60</v>
      </c>
      <c r="D40" s="73">
        <v>2</v>
      </c>
      <c r="E40" s="146" t="s">
        <v>236</v>
      </c>
      <c r="F40" s="75">
        <v>42156</v>
      </c>
      <c r="G40" s="188">
        <f>34/C40</f>
        <v>0.56666666666666665</v>
      </c>
      <c r="H40" s="73" t="s">
        <v>68</v>
      </c>
      <c r="I40" s="73" t="s">
        <v>68</v>
      </c>
      <c r="J40" s="47"/>
      <c r="K40" s="240"/>
    </row>
    <row r="41" spans="1:11" x14ac:dyDescent="0.25">
      <c r="A41" s="22">
        <v>39</v>
      </c>
      <c r="B41" s="102" t="s">
        <v>61</v>
      </c>
      <c r="C41" s="154">
        <v>60</v>
      </c>
      <c r="D41" s="102">
        <v>4</v>
      </c>
      <c r="E41" s="154" t="s">
        <v>134</v>
      </c>
      <c r="F41" s="190">
        <v>41612</v>
      </c>
      <c r="G41" s="243">
        <f>40/60</f>
        <v>0.66666666666666663</v>
      </c>
      <c r="H41" s="73" t="s">
        <v>68</v>
      </c>
      <c r="I41" s="73" t="s">
        <v>68</v>
      </c>
      <c r="J41" s="146" t="s">
        <v>68</v>
      </c>
      <c r="K41" s="73" t="s">
        <v>68</v>
      </c>
    </row>
    <row r="42" spans="1:11" s="2" customFormat="1" x14ac:dyDescent="0.25">
      <c r="A42" s="22">
        <v>40</v>
      </c>
      <c r="B42" s="102" t="s">
        <v>218</v>
      </c>
      <c r="C42" s="154">
        <v>60</v>
      </c>
      <c r="D42" s="102">
        <v>3</v>
      </c>
      <c r="E42" s="154" t="s">
        <v>237</v>
      </c>
      <c r="F42" s="178">
        <v>42156</v>
      </c>
      <c r="G42" s="201">
        <f>35/C42</f>
        <v>0.58333333333333337</v>
      </c>
      <c r="H42" s="73" t="s">
        <v>68</v>
      </c>
      <c r="I42" s="73" t="s">
        <v>68</v>
      </c>
      <c r="J42" s="47"/>
      <c r="K42" s="240"/>
    </row>
    <row r="43" spans="1:11" x14ac:dyDescent="0.25">
      <c r="A43" s="22">
        <v>41</v>
      </c>
      <c r="B43" s="73" t="s">
        <v>71</v>
      </c>
      <c r="C43" s="146">
        <v>48</v>
      </c>
      <c r="D43" s="73">
        <v>0</v>
      </c>
      <c r="E43" s="177" t="s">
        <v>195</v>
      </c>
      <c r="F43" s="140">
        <v>41905</v>
      </c>
      <c r="G43" s="188">
        <f>27/C43</f>
        <v>0.5625</v>
      </c>
      <c r="H43" s="73" t="s">
        <v>68</v>
      </c>
      <c r="I43" s="73" t="s">
        <v>68</v>
      </c>
      <c r="J43" s="146" t="s">
        <v>68</v>
      </c>
      <c r="K43" s="73" t="s">
        <v>68</v>
      </c>
    </row>
    <row r="44" spans="1:11" x14ac:dyDescent="0.25">
      <c r="A44" s="22">
        <v>42</v>
      </c>
      <c r="B44" s="73" t="s">
        <v>489</v>
      </c>
      <c r="C44" s="146">
        <v>45</v>
      </c>
      <c r="D44" s="73">
        <v>1</v>
      </c>
      <c r="E44" s="192" t="s">
        <v>210</v>
      </c>
      <c r="F44" s="140">
        <v>41940</v>
      </c>
      <c r="G44" s="188">
        <f>28/C44</f>
        <v>0.62222222222222223</v>
      </c>
      <c r="H44" s="73" t="s">
        <v>68</v>
      </c>
      <c r="I44" s="73" t="s">
        <v>68</v>
      </c>
      <c r="J44" s="146" t="s">
        <v>68</v>
      </c>
      <c r="K44" s="240" t="s">
        <v>68</v>
      </c>
    </row>
    <row r="45" spans="1:11" x14ac:dyDescent="0.25">
      <c r="A45" s="22">
        <v>43</v>
      </c>
      <c r="B45" s="73" t="s">
        <v>42</v>
      </c>
      <c r="C45" s="146">
        <v>25</v>
      </c>
      <c r="D45" s="73">
        <v>1</v>
      </c>
      <c r="E45" s="154" t="s">
        <v>131</v>
      </c>
      <c r="F45" s="140">
        <v>41598</v>
      </c>
      <c r="G45" s="165">
        <f>16/25</f>
        <v>0.64</v>
      </c>
      <c r="H45" s="73" t="s">
        <v>68</v>
      </c>
      <c r="I45" s="73" t="s">
        <v>68</v>
      </c>
      <c r="J45" s="73" t="s">
        <v>68</v>
      </c>
      <c r="K45" s="73" t="s">
        <v>68</v>
      </c>
    </row>
    <row r="46" spans="1:11" x14ac:dyDescent="0.25">
      <c r="A46" s="22">
        <v>44</v>
      </c>
      <c r="B46" s="73" t="s">
        <v>57</v>
      </c>
      <c r="C46" s="146">
        <v>80</v>
      </c>
      <c r="D46" s="73">
        <v>3</v>
      </c>
      <c r="E46" s="154" t="s">
        <v>125</v>
      </c>
      <c r="F46" s="140">
        <v>41596</v>
      </c>
      <c r="G46" s="145">
        <f>50/80</f>
        <v>0.625</v>
      </c>
      <c r="H46" s="73" t="s">
        <v>68</v>
      </c>
      <c r="I46" s="73" t="s">
        <v>68</v>
      </c>
      <c r="J46" s="146" t="s">
        <v>68</v>
      </c>
      <c r="K46" s="73" t="s">
        <v>68</v>
      </c>
    </row>
    <row r="47" spans="1:11" x14ac:dyDescent="0.25">
      <c r="A47" s="22">
        <v>45</v>
      </c>
      <c r="B47" s="77" t="s">
        <v>43</v>
      </c>
      <c r="C47" s="73">
        <v>60</v>
      </c>
      <c r="D47" s="89">
        <v>3</v>
      </c>
      <c r="E47" s="73" t="s">
        <v>112</v>
      </c>
      <c r="F47" s="164">
        <v>42534</v>
      </c>
      <c r="G47" s="165">
        <f>41/60</f>
        <v>0.68333333333333335</v>
      </c>
      <c r="H47" s="73" t="s">
        <v>68</v>
      </c>
      <c r="I47" s="73" t="s">
        <v>68</v>
      </c>
      <c r="K47" s="276"/>
    </row>
    <row r="48" spans="1:11" x14ac:dyDescent="0.25">
      <c r="A48" s="22">
        <v>46</v>
      </c>
      <c r="B48" s="73" t="s">
        <v>34</v>
      </c>
      <c r="C48" s="146">
        <v>30</v>
      </c>
      <c r="D48" s="73">
        <v>1</v>
      </c>
      <c r="E48" s="146" t="s">
        <v>107</v>
      </c>
      <c r="F48" s="140">
        <v>41605</v>
      </c>
      <c r="G48" s="145">
        <f>18/29</f>
        <v>0.62068965517241381</v>
      </c>
      <c r="H48" s="73" t="s">
        <v>68</v>
      </c>
      <c r="I48" s="73" t="s">
        <v>68</v>
      </c>
      <c r="J48" s="146" t="s">
        <v>68</v>
      </c>
      <c r="K48" s="73" t="s">
        <v>68</v>
      </c>
    </row>
    <row r="49" spans="1:11" x14ac:dyDescent="0.25">
      <c r="A49" s="22">
        <v>47</v>
      </c>
      <c r="B49" s="102" t="s">
        <v>37</v>
      </c>
      <c r="C49" s="154">
        <v>65</v>
      </c>
      <c r="D49" s="102">
        <v>2</v>
      </c>
      <c r="E49" s="154" t="s">
        <v>129</v>
      </c>
      <c r="F49" s="144">
        <v>42585</v>
      </c>
      <c r="G49" s="399">
        <f>41/C49</f>
        <v>0.63076923076923075</v>
      </c>
      <c r="H49" s="73" t="s">
        <v>68</v>
      </c>
      <c r="I49" s="73" t="s">
        <v>68</v>
      </c>
      <c r="K49" s="276"/>
    </row>
    <row r="50" spans="1:11" x14ac:dyDescent="0.25">
      <c r="A50" s="22">
        <v>48</v>
      </c>
      <c r="B50" s="73" t="s">
        <v>19</v>
      </c>
      <c r="C50" s="146">
        <v>60</v>
      </c>
      <c r="D50" s="73">
        <v>3</v>
      </c>
      <c r="E50" s="192" t="s">
        <v>182</v>
      </c>
      <c r="F50" s="140">
        <v>41897</v>
      </c>
      <c r="G50" s="145">
        <f>47/C50</f>
        <v>0.78333333333333333</v>
      </c>
      <c r="H50" s="73" t="s">
        <v>68</v>
      </c>
      <c r="I50" s="73" t="s">
        <v>68</v>
      </c>
      <c r="J50" s="146" t="s">
        <v>68</v>
      </c>
      <c r="K50" s="73" t="s">
        <v>68</v>
      </c>
    </row>
    <row r="51" spans="1:11" x14ac:dyDescent="0.25">
      <c r="A51" s="22">
        <v>49</v>
      </c>
      <c r="B51" s="73" t="s">
        <v>8</v>
      </c>
      <c r="C51" s="146">
        <v>60</v>
      </c>
      <c r="D51" s="73">
        <v>1</v>
      </c>
      <c r="E51" s="192" t="s">
        <v>184</v>
      </c>
      <c r="F51" s="140">
        <v>41891</v>
      </c>
      <c r="G51" s="145">
        <f>36/C51</f>
        <v>0.6</v>
      </c>
      <c r="H51" s="73" t="s">
        <v>68</v>
      </c>
      <c r="I51" s="73" t="s">
        <v>68</v>
      </c>
      <c r="J51" s="146" t="s">
        <v>68</v>
      </c>
      <c r="K51" s="73" t="s">
        <v>68</v>
      </c>
    </row>
    <row r="52" spans="1:11" x14ac:dyDescent="0.25">
      <c r="A52" s="22">
        <v>50</v>
      </c>
      <c r="B52" s="73" t="s">
        <v>6</v>
      </c>
      <c r="C52" s="146">
        <v>60</v>
      </c>
      <c r="D52" s="73">
        <v>2</v>
      </c>
      <c r="E52" s="192" t="s">
        <v>180</v>
      </c>
      <c r="F52" s="140">
        <v>41890</v>
      </c>
      <c r="G52" s="145">
        <f>40/C52</f>
        <v>0.66666666666666663</v>
      </c>
      <c r="H52" s="73" t="s">
        <v>68</v>
      </c>
      <c r="I52" s="73" t="s">
        <v>68</v>
      </c>
      <c r="J52" s="146" t="s">
        <v>68</v>
      </c>
      <c r="K52" s="73" t="s">
        <v>68</v>
      </c>
    </row>
    <row r="53" spans="1:11" x14ac:dyDescent="0.25">
      <c r="A53" s="22">
        <v>51</v>
      </c>
      <c r="B53" s="73" t="s">
        <v>14</v>
      </c>
      <c r="C53" s="146">
        <v>60</v>
      </c>
      <c r="D53" s="73">
        <v>2</v>
      </c>
      <c r="E53" s="192" t="s">
        <v>194</v>
      </c>
      <c r="F53" s="140">
        <v>41926</v>
      </c>
      <c r="G53" s="145">
        <f>37/C53</f>
        <v>0.6166666666666667</v>
      </c>
      <c r="H53" s="73" t="s">
        <v>68</v>
      </c>
      <c r="I53" s="73" t="s">
        <v>68</v>
      </c>
      <c r="J53" s="146" t="s">
        <v>68</v>
      </c>
      <c r="K53" s="240"/>
    </row>
    <row r="54" spans="1:11" x14ac:dyDescent="0.25">
      <c r="A54" s="22">
        <v>52</v>
      </c>
      <c r="B54" s="102" t="s">
        <v>13</v>
      </c>
      <c r="C54" s="154">
        <v>8</v>
      </c>
      <c r="D54" s="102">
        <v>0</v>
      </c>
      <c r="E54" s="177" t="s">
        <v>179</v>
      </c>
      <c r="F54" s="178">
        <v>41912</v>
      </c>
      <c r="G54" s="243">
        <v>1</v>
      </c>
      <c r="H54" s="102" t="s">
        <v>68</v>
      </c>
      <c r="I54" s="73" t="s">
        <v>68</v>
      </c>
      <c r="J54" s="146" t="s">
        <v>68</v>
      </c>
      <c r="K54" s="73" t="s">
        <v>68</v>
      </c>
    </row>
    <row r="55" spans="1:11" s="2" customFormat="1" x14ac:dyDescent="0.25">
      <c r="A55" s="22">
        <v>53</v>
      </c>
      <c r="B55" s="240" t="s">
        <v>221</v>
      </c>
      <c r="C55" s="200">
        <v>5</v>
      </c>
      <c r="D55" s="77">
        <v>5</v>
      </c>
      <c r="E55" s="200" t="s">
        <v>240</v>
      </c>
      <c r="F55" s="194">
        <v>42180</v>
      </c>
      <c r="G55" s="201">
        <f>5/C55</f>
        <v>1</v>
      </c>
      <c r="H55" s="102" t="s">
        <v>68</v>
      </c>
      <c r="I55" s="73" t="s">
        <v>68</v>
      </c>
      <c r="J55" s="146"/>
      <c r="K55" s="73"/>
    </row>
    <row r="56" spans="1:11" x14ac:dyDescent="0.25">
      <c r="A56" s="22">
        <v>54</v>
      </c>
      <c r="B56" s="73" t="s">
        <v>88</v>
      </c>
      <c r="C56" s="146">
        <v>40</v>
      </c>
      <c r="D56" s="73">
        <v>7</v>
      </c>
      <c r="E56" s="192" t="s">
        <v>201</v>
      </c>
      <c r="F56" s="75">
        <v>41907</v>
      </c>
      <c r="G56" s="188">
        <f>24/C56</f>
        <v>0.6</v>
      </c>
      <c r="H56" s="73" t="s">
        <v>68</v>
      </c>
      <c r="I56" s="73" t="s">
        <v>68</v>
      </c>
      <c r="J56" s="146" t="s">
        <v>68</v>
      </c>
      <c r="K56" s="73"/>
    </row>
    <row r="57" spans="1:11" x14ac:dyDescent="0.25">
      <c r="A57" s="22">
        <v>55</v>
      </c>
      <c r="B57" s="73" t="s">
        <v>1113</v>
      </c>
      <c r="C57" s="146">
        <v>53</v>
      </c>
      <c r="D57" s="73">
        <v>0</v>
      </c>
      <c r="E57" s="146" t="s">
        <v>124</v>
      </c>
      <c r="F57" s="75">
        <v>41765</v>
      </c>
      <c r="G57" s="145">
        <f>36/53</f>
        <v>0.67924528301886788</v>
      </c>
      <c r="H57" s="73" t="s">
        <v>68</v>
      </c>
      <c r="I57" s="73" t="s">
        <v>68</v>
      </c>
      <c r="J57" s="146" t="s">
        <v>68</v>
      </c>
      <c r="K57" s="240"/>
    </row>
    <row r="58" spans="1:11" x14ac:dyDescent="0.25">
      <c r="A58" s="22">
        <v>56</v>
      </c>
      <c r="B58" s="73" t="s">
        <v>38</v>
      </c>
      <c r="C58" s="146">
        <v>100</v>
      </c>
      <c r="D58" s="73">
        <v>9</v>
      </c>
      <c r="E58" s="146" t="s">
        <v>123</v>
      </c>
      <c r="F58" s="75">
        <v>41592</v>
      </c>
      <c r="G58" s="145">
        <f>58/100</f>
        <v>0.57999999999999996</v>
      </c>
      <c r="H58" s="73" t="s">
        <v>68</v>
      </c>
      <c r="I58" s="73" t="s">
        <v>68</v>
      </c>
      <c r="J58" s="146" t="s">
        <v>68</v>
      </c>
      <c r="K58" s="73" t="s">
        <v>68</v>
      </c>
    </row>
    <row r="59" spans="1:11" x14ac:dyDescent="0.25">
      <c r="A59" s="22">
        <v>57</v>
      </c>
      <c r="B59" s="73" t="s">
        <v>47</v>
      </c>
      <c r="C59" s="146">
        <v>40</v>
      </c>
      <c r="D59" s="73">
        <v>1</v>
      </c>
      <c r="E59" s="146" t="s">
        <v>121</v>
      </c>
      <c r="F59" s="75">
        <v>41610</v>
      </c>
      <c r="G59" s="145">
        <f>24/40</f>
        <v>0.6</v>
      </c>
      <c r="H59" s="73" t="s">
        <v>68</v>
      </c>
      <c r="I59" s="73" t="s">
        <v>68</v>
      </c>
      <c r="J59" s="146" t="s">
        <v>68</v>
      </c>
      <c r="K59" s="240"/>
    </row>
    <row r="60" spans="1:11" x14ac:dyDescent="0.25">
      <c r="A60" s="22">
        <v>58</v>
      </c>
      <c r="B60" s="73" t="s">
        <v>50</v>
      </c>
      <c r="C60" s="146">
        <v>45</v>
      </c>
      <c r="D60" s="73">
        <v>1</v>
      </c>
      <c r="E60" s="146" t="s">
        <v>120</v>
      </c>
      <c r="F60" s="75">
        <v>41597</v>
      </c>
      <c r="G60" s="145">
        <f>30/45</f>
        <v>0.66666666666666663</v>
      </c>
      <c r="H60" s="73" t="s">
        <v>68</v>
      </c>
      <c r="I60" s="73" t="s">
        <v>68</v>
      </c>
      <c r="J60" s="146" t="s">
        <v>68</v>
      </c>
      <c r="K60" s="73" t="s">
        <v>68</v>
      </c>
    </row>
    <row r="61" spans="1:11" x14ac:dyDescent="0.25">
      <c r="A61" s="22">
        <v>59</v>
      </c>
      <c r="B61" s="73" t="s">
        <v>26</v>
      </c>
      <c r="C61" s="146">
        <v>36</v>
      </c>
      <c r="D61" s="73">
        <v>1</v>
      </c>
      <c r="E61" s="146" t="s">
        <v>119</v>
      </c>
      <c r="F61" s="194">
        <v>41613</v>
      </c>
      <c r="G61" s="145">
        <f>24/36</f>
        <v>0.66666666666666663</v>
      </c>
      <c r="H61" s="77" t="s">
        <v>68</v>
      </c>
      <c r="I61" s="73" t="s">
        <v>68</v>
      </c>
      <c r="J61" s="146" t="s">
        <v>68</v>
      </c>
      <c r="K61" s="73" t="s">
        <v>68</v>
      </c>
    </row>
    <row r="62" spans="1:11" x14ac:dyDescent="0.25">
      <c r="A62" s="22">
        <v>60</v>
      </c>
      <c r="B62" s="73" t="s">
        <v>31</v>
      </c>
      <c r="C62" s="146">
        <v>44</v>
      </c>
      <c r="D62" s="73">
        <v>2</v>
      </c>
      <c r="E62" s="146" t="s">
        <v>118</v>
      </c>
      <c r="F62" s="194">
        <v>41592</v>
      </c>
      <c r="G62" s="145">
        <f>29/44</f>
        <v>0.65909090909090906</v>
      </c>
      <c r="H62" s="77" t="s">
        <v>68</v>
      </c>
      <c r="I62" s="73" t="s">
        <v>68</v>
      </c>
      <c r="J62" s="146" t="s">
        <v>68</v>
      </c>
      <c r="K62" s="240"/>
    </row>
    <row r="63" spans="1:11" x14ac:dyDescent="0.25">
      <c r="A63" s="22">
        <v>61</v>
      </c>
      <c r="B63" s="73" t="s">
        <v>12</v>
      </c>
      <c r="C63" s="146">
        <v>45</v>
      </c>
      <c r="D63" s="73">
        <v>0</v>
      </c>
      <c r="E63" s="192" t="s">
        <v>191</v>
      </c>
      <c r="F63" s="194">
        <v>41912</v>
      </c>
      <c r="G63" s="145">
        <f>29/C63</f>
        <v>0.64444444444444449</v>
      </c>
      <c r="H63" s="77" t="s">
        <v>68</v>
      </c>
      <c r="I63" s="73" t="s">
        <v>68</v>
      </c>
      <c r="J63" s="146" t="s">
        <v>68</v>
      </c>
      <c r="K63" s="73" t="s">
        <v>68</v>
      </c>
    </row>
    <row r="64" spans="1:11" x14ac:dyDescent="0.25">
      <c r="A64" s="22">
        <v>62</v>
      </c>
      <c r="B64" s="73" t="s">
        <v>83</v>
      </c>
      <c r="C64" s="146">
        <v>45</v>
      </c>
      <c r="D64" s="73">
        <v>3</v>
      </c>
      <c r="E64" s="73" t="s">
        <v>162</v>
      </c>
      <c r="F64" s="130">
        <v>41857</v>
      </c>
      <c r="G64" s="188">
        <f>29/C64</f>
        <v>0.64444444444444449</v>
      </c>
      <c r="H64" s="73" t="s">
        <v>68</v>
      </c>
      <c r="I64" s="73" t="s">
        <v>68</v>
      </c>
      <c r="J64" s="146" t="s">
        <v>68</v>
      </c>
      <c r="K64" s="73" t="s">
        <v>68</v>
      </c>
    </row>
    <row r="65" spans="1:11" x14ac:dyDescent="0.25">
      <c r="A65" s="22">
        <v>63</v>
      </c>
      <c r="B65" s="73" t="s">
        <v>10</v>
      </c>
      <c r="C65" s="146">
        <v>50</v>
      </c>
      <c r="D65" s="73">
        <v>1</v>
      </c>
      <c r="E65" s="195" t="s">
        <v>176</v>
      </c>
      <c r="F65" s="130">
        <v>41891</v>
      </c>
      <c r="G65" s="145">
        <f>31/C65</f>
        <v>0.62</v>
      </c>
      <c r="H65" s="73" t="s">
        <v>68</v>
      </c>
      <c r="I65" s="73" t="s">
        <v>68</v>
      </c>
      <c r="J65" s="146" t="s">
        <v>68</v>
      </c>
      <c r="K65" s="73" t="s">
        <v>68</v>
      </c>
    </row>
    <row r="66" spans="1:11" x14ac:dyDescent="0.25">
      <c r="A66" s="22">
        <v>64</v>
      </c>
      <c r="B66" s="77" t="s">
        <v>488</v>
      </c>
      <c r="C66" s="200">
        <v>60</v>
      </c>
      <c r="D66" s="77">
        <v>2</v>
      </c>
      <c r="E66" s="244" t="s">
        <v>211</v>
      </c>
      <c r="F66" s="194">
        <v>41942</v>
      </c>
      <c r="G66" s="241">
        <f>36/C66</f>
        <v>0.6</v>
      </c>
      <c r="H66" s="77" t="s">
        <v>68</v>
      </c>
      <c r="I66" s="73" t="s">
        <v>68</v>
      </c>
      <c r="J66" s="146" t="s">
        <v>68</v>
      </c>
      <c r="K66" s="73" t="s">
        <v>68</v>
      </c>
    </row>
    <row r="67" spans="1:11" x14ac:dyDescent="0.25">
      <c r="A67" s="22">
        <v>65</v>
      </c>
      <c r="B67" s="73" t="s">
        <v>483</v>
      </c>
      <c r="C67" s="146">
        <v>75</v>
      </c>
      <c r="D67" s="73">
        <v>0</v>
      </c>
      <c r="E67" s="195" t="s">
        <v>188</v>
      </c>
      <c r="F67" s="75">
        <v>41939</v>
      </c>
      <c r="G67" s="145">
        <f>50/C67</f>
        <v>0.66666666666666663</v>
      </c>
      <c r="H67" s="73" t="s">
        <v>68</v>
      </c>
      <c r="I67" s="73" t="s">
        <v>68</v>
      </c>
      <c r="J67" s="146" t="s">
        <v>68</v>
      </c>
      <c r="K67" s="240"/>
    </row>
    <row r="68" spans="1:11" ht="15.75" thickBot="1" x14ac:dyDescent="0.3">
      <c r="A68" s="22">
        <v>66</v>
      </c>
      <c r="B68" s="169" t="s">
        <v>49</v>
      </c>
      <c r="C68" s="173">
        <v>75</v>
      </c>
      <c r="D68" s="169">
        <v>0</v>
      </c>
      <c r="E68" s="173" t="s">
        <v>116</v>
      </c>
      <c r="F68" s="179">
        <v>41611</v>
      </c>
      <c r="G68" s="180">
        <f>45/75</f>
        <v>0.6</v>
      </c>
      <c r="H68" s="169" t="s">
        <v>68</v>
      </c>
      <c r="I68" s="169" t="s">
        <v>68</v>
      </c>
      <c r="J68" s="173" t="s">
        <v>68</v>
      </c>
      <c r="K68" s="169" t="s">
        <v>68</v>
      </c>
    </row>
    <row r="69" spans="1:11" x14ac:dyDescent="0.25">
      <c r="A69" s="48"/>
      <c r="B69" s="47"/>
      <c r="E69" s="1"/>
      <c r="F69" s="1"/>
      <c r="G69" s="31">
        <f>COUNTA(G3:G68)</f>
        <v>66</v>
      </c>
      <c r="H69" s="31">
        <f>COUNTA(H3:H68)</f>
        <v>66</v>
      </c>
      <c r="I69" s="31">
        <f>COUNTA(I3:I68)</f>
        <v>66</v>
      </c>
      <c r="J69" s="31">
        <f>COUNTA(J3:J68)</f>
        <v>54</v>
      </c>
      <c r="K69" s="31">
        <f>COUNTA(K3:K68)</f>
        <v>38</v>
      </c>
    </row>
    <row r="70" spans="1:11" s="2" customFormat="1" x14ac:dyDescent="0.25">
      <c r="A70" s="106"/>
      <c r="B70" s="47"/>
      <c r="E70" s="1"/>
      <c r="F70" s="1"/>
      <c r="G70" s="31"/>
      <c r="H70" s="31"/>
      <c r="I70" s="31"/>
      <c r="J70" s="31"/>
      <c r="K70" s="31"/>
    </row>
    <row r="71" spans="1:11" ht="16.5" thickBot="1" x14ac:dyDescent="0.3">
      <c r="A71" s="91"/>
      <c r="B71" s="91"/>
      <c r="D71" s="90" t="s">
        <v>229</v>
      </c>
    </row>
    <row r="72" spans="1:11" ht="60.75" thickBot="1" x14ac:dyDescent="0.3">
      <c r="A72" s="36" t="s">
        <v>0</v>
      </c>
      <c r="B72" s="37" t="s">
        <v>1</v>
      </c>
      <c r="C72" s="38" t="s">
        <v>94</v>
      </c>
      <c r="D72" s="53" t="s">
        <v>95</v>
      </c>
      <c r="E72" s="53" t="s">
        <v>102</v>
      </c>
      <c r="F72" s="38" t="s">
        <v>2</v>
      </c>
      <c r="G72" s="53" t="s">
        <v>69</v>
      </c>
      <c r="H72" s="53" t="s">
        <v>3</v>
      </c>
    </row>
    <row r="73" spans="1:11" x14ac:dyDescent="0.25">
      <c r="A73" s="22">
        <v>1</v>
      </c>
      <c r="B73" s="103" t="s">
        <v>32</v>
      </c>
      <c r="C73" s="103">
        <v>38</v>
      </c>
      <c r="D73" s="126">
        <v>18</v>
      </c>
      <c r="E73" s="103" t="s">
        <v>145</v>
      </c>
      <c r="F73" s="238">
        <v>42436</v>
      </c>
      <c r="G73" s="239">
        <f>24/38</f>
        <v>0.63157894736842102</v>
      </c>
      <c r="H73" s="126"/>
    </row>
    <row r="74" spans="1:11" x14ac:dyDescent="0.25">
      <c r="A74" s="22">
        <v>2</v>
      </c>
      <c r="B74" s="73" t="s">
        <v>46</v>
      </c>
      <c r="C74" s="73">
        <v>40</v>
      </c>
      <c r="D74" s="89">
        <v>0</v>
      </c>
      <c r="E74" s="73" t="s">
        <v>114</v>
      </c>
      <c r="F74" s="130">
        <v>41603</v>
      </c>
      <c r="G74" s="145">
        <f>23/40</f>
        <v>0.57499999999999996</v>
      </c>
      <c r="H74" s="67" t="s">
        <v>75</v>
      </c>
    </row>
    <row r="75" spans="1:11" x14ac:dyDescent="0.25">
      <c r="A75" s="22">
        <v>3</v>
      </c>
      <c r="B75" s="73" t="s">
        <v>30</v>
      </c>
      <c r="C75" s="73">
        <v>65</v>
      </c>
      <c r="D75" s="89">
        <v>1</v>
      </c>
      <c r="E75" s="73" t="s">
        <v>140</v>
      </c>
      <c r="F75" s="130">
        <v>41597</v>
      </c>
      <c r="G75" s="145">
        <f>37/65</f>
        <v>0.56923076923076921</v>
      </c>
      <c r="H75" s="67" t="s">
        <v>75</v>
      </c>
    </row>
    <row r="76" spans="1:11" x14ac:dyDescent="0.25">
      <c r="A76" s="22">
        <v>4</v>
      </c>
      <c r="B76" s="77" t="s">
        <v>63</v>
      </c>
      <c r="C76" s="73">
        <v>120</v>
      </c>
      <c r="D76" s="89">
        <v>72</v>
      </c>
      <c r="E76" s="73" t="s">
        <v>126</v>
      </c>
      <c r="F76" s="164">
        <v>41598</v>
      </c>
      <c r="G76" s="165">
        <f>75/120</f>
        <v>0.625</v>
      </c>
      <c r="H76" s="93" t="s">
        <v>75</v>
      </c>
    </row>
    <row r="77" spans="1:11" x14ac:dyDescent="0.25">
      <c r="A77" s="22">
        <v>5</v>
      </c>
      <c r="B77" s="73" t="s">
        <v>5</v>
      </c>
      <c r="C77" s="146">
        <v>6</v>
      </c>
      <c r="D77" s="73">
        <v>3</v>
      </c>
      <c r="E77" s="192" t="s">
        <v>186</v>
      </c>
      <c r="F77" s="140">
        <v>41890</v>
      </c>
      <c r="G77" s="145">
        <f>5/C77</f>
        <v>0.83333333333333337</v>
      </c>
      <c r="H77" s="67" t="s">
        <v>75</v>
      </c>
    </row>
    <row r="78" spans="1:11" ht="15.75" thickBot="1" x14ac:dyDescent="0.3">
      <c r="A78" s="22">
        <v>6</v>
      </c>
      <c r="B78" s="169" t="s">
        <v>45</v>
      </c>
      <c r="C78" s="173">
        <v>53</v>
      </c>
      <c r="D78" s="169">
        <v>1</v>
      </c>
      <c r="E78" s="173" t="s">
        <v>133</v>
      </c>
      <c r="F78" s="171">
        <v>42612</v>
      </c>
      <c r="G78" s="400">
        <f>36/C78</f>
        <v>0.67924528301886788</v>
      </c>
      <c r="H78" s="169"/>
    </row>
    <row r="79" spans="1:11" x14ac:dyDescent="0.25">
      <c r="A79" s="48"/>
      <c r="B79" s="47"/>
      <c r="C79" s="33"/>
      <c r="D79" s="33"/>
      <c r="E79" s="47"/>
      <c r="F79" s="54"/>
      <c r="G79" s="47"/>
      <c r="H79" s="47"/>
    </row>
    <row r="80" spans="1:11" ht="16.5" thickBot="1" x14ac:dyDescent="0.3">
      <c r="A80" s="92"/>
      <c r="B80" s="92"/>
      <c r="D80" s="90" t="s">
        <v>1129</v>
      </c>
    </row>
    <row r="81" spans="1:8" ht="45.75" customHeight="1" thickBot="1" x14ac:dyDescent="0.3">
      <c r="A81" s="36" t="s">
        <v>0</v>
      </c>
      <c r="B81" s="37" t="s">
        <v>1</v>
      </c>
      <c r="C81" s="18" t="s">
        <v>94</v>
      </c>
      <c r="D81" s="18" t="s">
        <v>95</v>
      </c>
      <c r="E81" s="18" t="s">
        <v>102</v>
      </c>
      <c r="F81" s="38" t="s">
        <v>2</v>
      </c>
      <c r="G81" s="69" t="s">
        <v>69</v>
      </c>
      <c r="H81" s="94" t="s">
        <v>3</v>
      </c>
    </row>
    <row r="82" spans="1:8" x14ac:dyDescent="0.25">
      <c r="A82" s="21">
        <v>1</v>
      </c>
      <c r="B82" s="102" t="s">
        <v>39</v>
      </c>
      <c r="C82" s="102">
        <v>65</v>
      </c>
      <c r="D82" s="129">
        <v>3</v>
      </c>
      <c r="E82" s="102" t="s">
        <v>157</v>
      </c>
      <c r="F82" s="144">
        <v>42458</v>
      </c>
      <c r="G82" s="27">
        <f>0.446153846153846</f>
        <v>0.44615384615384601</v>
      </c>
      <c r="H82" s="72"/>
    </row>
    <row r="83" spans="1:8" x14ac:dyDescent="0.25">
      <c r="A83" s="21">
        <v>2</v>
      </c>
      <c r="B83" s="73" t="s">
        <v>70</v>
      </c>
      <c r="C83" s="73">
        <v>75</v>
      </c>
      <c r="D83" s="89">
        <v>1</v>
      </c>
      <c r="E83" s="195" t="s">
        <v>198</v>
      </c>
      <c r="F83" s="130">
        <v>41906</v>
      </c>
      <c r="G83" s="97">
        <f>28/C83</f>
        <v>0.37333333333333335</v>
      </c>
      <c r="H83" s="63"/>
    </row>
    <row r="84" spans="1:8" x14ac:dyDescent="0.25">
      <c r="A84" s="21">
        <v>3</v>
      </c>
      <c r="B84" s="73" t="s">
        <v>55</v>
      </c>
      <c r="C84" s="73">
        <v>54</v>
      </c>
      <c r="D84" s="89">
        <v>2</v>
      </c>
      <c r="E84" s="73" t="s">
        <v>149</v>
      </c>
      <c r="F84" s="130">
        <v>41604</v>
      </c>
      <c r="G84" s="51" t="s">
        <v>72</v>
      </c>
      <c r="H84" s="63"/>
    </row>
    <row r="85" spans="1:8" x14ac:dyDescent="0.25">
      <c r="A85" s="21">
        <v>4</v>
      </c>
      <c r="B85" s="77" t="s">
        <v>51</v>
      </c>
      <c r="C85" s="73">
        <v>75</v>
      </c>
      <c r="D85" s="89">
        <v>3</v>
      </c>
      <c r="E85" s="73" t="s">
        <v>155</v>
      </c>
      <c r="F85" s="164">
        <v>41599</v>
      </c>
      <c r="G85" s="51" t="s">
        <v>72</v>
      </c>
      <c r="H85" s="66"/>
    </row>
    <row r="86" spans="1:8" x14ac:dyDescent="0.25">
      <c r="A86" s="21">
        <v>5</v>
      </c>
      <c r="B86" s="77" t="s">
        <v>104</v>
      </c>
      <c r="C86" s="73">
        <v>54</v>
      </c>
      <c r="D86" s="89">
        <v>1</v>
      </c>
      <c r="E86" s="73" t="s">
        <v>215</v>
      </c>
      <c r="F86" s="164">
        <v>42109</v>
      </c>
      <c r="G86" s="62">
        <f>10/C86</f>
        <v>0.18518518518518517</v>
      </c>
      <c r="H86" s="66"/>
    </row>
    <row r="87" spans="1:8" x14ac:dyDescent="0.25">
      <c r="A87" s="21">
        <v>6</v>
      </c>
      <c r="B87" s="77" t="s">
        <v>106</v>
      </c>
      <c r="C87" s="73">
        <v>45</v>
      </c>
      <c r="D87" s="89">
        <v>2</v>
      </c>
      <c r="E87" s="73" t="s">
        <v>214</v>
      </c>
      <c r="F87" s="164">
        <v>41984</v>
      </c>
      <c r="G87" s="97">
        <f>7/C87</f>
        <v>0.15555555555555556</v>
      </c>
      <c r="H87" s="66"/>
    </row>
    <row r="88" spans="1:8" x14ac:dyDescent="0.25">
      <c r="A88" s="21">
        <v>7</v>
      </c>
      <c r="B88" s="73" t="s">
        <v>84</v>
      </c>
      <c r="C88" s="73">
        <v>54</v>
      </c>
      <c r="D88" s="89">
        <v>0</v>
      </c>
      <c r="E88" s="195" t="s">
        <v>205</v>
      </c>
      <c r="F88" s="130">
        <v>42060</v>
      </c>
      <c r="G88" s="62">
        <f>18/C88</f>
        <v>0.33333333333333331</v>
      </c>
      <c r="H88" s="63"/>
    </row>
    <row r="89" spans="1:8" x14ac:dyDescent="0.25">
      <c r="A89" s="21">
        <v>8</v>
      </c>
      <c r="B89" s="73" t="s">
        <v>89</v>
      </c>
      <c r="C89" s="73">
        <v>54</v>
      </c>
      <c r="D89" s="89">
        <v>0</v>
      </c>
      <c r="E89" s="195" t="s">
        <v>197</v>
      </c>
      <c r="F89" s="130">
        <v>41905</v>
      </c>
      <c r="G89" s="62">
        <f>16/C89</f>
        <v>0.29629629629629628</v>
      </c>
      <c r="H89" s="63"/>
    </row>
    <row r="90" spans="1:8" x14ac:dyDescent="0.25">
      <c r="A90" s="21">
        <v>9</v>
      </c>
      <c r="B90" s="73" t="s">
        <v>64</v>
      </c>
      <c r="C90" s="73">
        <v>18</v>
      </c>
      <c r="D90" s="89">
        <v>0</v>
      </c>
      <c r="E90" s="73" t="s">
        <v>146</v>
      </c>
      <c r="F90" s="130">
        <v>41604</v>
      </c>
      <c r="G90" s="27">
        <f>8/18</f>
        <v>0.44444444444444442</v>
      </c>
      <c r="H90" s="63"/>
    </row>
    <row r="91" spans="1:8" x14ac:dyDescent="0.25">
      <c r="A91" s="21">
        <v>10</v>
      </c>
      <c r="B91" s="102" t="s">
        <v>24</v>
      </c>
      <c r="C91" s="154">
        <v>72</v>
      </c>
      <c r="D91" s="102">
        <v>1</v>
      </c>
      <c r="E91" s="154" t="s">
        <v>142</v>
      </c>
      <c r="F91" s="190">
        <v>41599</v>
      </c>
      <c r="G91" s="99" t="s">
        <v>72</v>
      </c>
      <c r="H91" s="95"/>
    </row>
    <row r="92" spans="1:8" x14ac:dyDescent="0.25">
      <c r="A92" s="21">
        <v>11</v>
      </c>
      <c r="B92" s="73" t="s">
        <v>481</v>
      </c>
      <c r="C92" s="146">
        <v>60</v>
      </c>
      <c r="D92" s="73">
        <v>3</v>
      </c>
      <c r="E92" s="154" t="s">
        <v>166</v>
      </c>
      <c r="F92" s="140">
        <v>41864</v>
      </c>
      <c r="G92" s="97">
        <f>20/C92</f>
        <v>0.33333333333333331</v>
      </c>
      <c r="H92" s="63"/>
    </row>
    <row r="93" spans="1:8" x14ac:dyDescent="0.25">
      <c r="A93" s="21">
        <v>12</v>
      </c>
      <c r="B93" s="73" t="s">
        <v>479</v>
      </c>
      <c r="C93" s="146">
        <v>45</v>
      </c>
      <c r="D93" s="73">
        <v>0</v>
      </c>
      <c r="E93" s="177" t="s">
        <v>165</v>
      </c>
      <c r="F93" s="140">
        <v>41954</v>
      </c>
      <c r="G93" s="62">
        <f>20/C93</f>
        <v>0.44444444444444442</v>
      </c>
      <c r="H93" s="63"/>
    </row>
    <row r="94" spans="1:8" x14ac:dyDescent="0.25">
      <c r="A94" s="21">
        <v>13</v>
      </c>
      <c r="B94" s="73" t="s">
        <v>480</v>
      </c>
      <c r="C94" s="146">
        <v>20</v>
      </c>
      <c r="D94" s="73">
        <v>0</v>
      </c>
      <c r="E94" s="154" t="s">
        <v>132</v>
      </c>
      <c r="F94" s="140">
        <v>41610</v>
      </c>
      <c r="G94" s="27">
        <f>3/20</f>
        <v>0.15</v>
      </c>
      <c r="H94" s="63"/>
    </row>
    <row r="95" spans="1:8" x14ac:dyDescent="0.25">
      <c r="A95" s="21">
        <v>14</v>
      </c>
      <c r="B95" s="73" t="s">
        <v>18</v>
      </c>
      <c r="C95" s="146">
        <v>80</v>
      </c>
      <c r="D95" s="73">
        <v>2</v>
      </c>
      <c r="E95" s="177" t="s">
        <v>177</v>
      </c>
      <c r="F95" s="140">
        <v>41897</v>
      </c>
      <c r="G95" s="27">
        <f>20/C95</f>
        <v>0.25</v>
      </c>
      <c r="H95" s="63"/>
    </row>
    <row r="96" spans="1:8" x14ac:dyDescent="0.25">
      <c r="A96" s="21">
        <v>15</v>
      </c>
      <c r="B96" s="73" t="s">
        <v>58</v>
      </c>
      <c r="C96" s="146">
        <v>25</v>
      </c>
      <c r="D96" s="73">
        <v>0</v>
      </c>
      <c r="E96" s="154" t="s">
        <v>130</v>
      </c>
      <c r="F96" s="140">
        <v>41611</v>
      </c>
      <c r="G96" s="98" t="s">
        <v>72</v>
      </c>
      <c r="H96" s="63"/>
    </row>
    <row r="97" spans="1:10" x14ac:dyDescent="0.25">
      <c r="A97" s="21">
        <v>16</v>
      </c>
      <c r="B97" s="73" t="s">
        <v>484</v>
      </c>
      <c r="C97" s="146">
        <v>20</v>
      </c>
      <c r="D97" s="73">
        <v>0</v>
      </c>
      <c r="E97" s="177" t="s">
        <v>193</v>
      </c>
      <c r="F97" s="140">
        <v>41892</v>
      </c>
      <c r="G97" s="27">
        <f>7/C97</f>
        <v>0.35</v>
      </c>
      <c r="H97" s="63" t="s">
        <v>202</v>
      </c>
    </row>
    <row r="98" spans="1:10" x14ac:dyDescent="0.25">
      <c r="A98" s="21">
        <v>17</v>
      </c>
      <c r="B98" s="73" t="s">
        <v>175</v>
      </c>
      <c r="C98" s="146">
        <v>30</v>
      </c>
      <c r="D98" s="73">
        <v>0</v>
      </c>
      <c r="E98" s="146" t="s">
        <v>128</v>
      </c>
      <c r="F98" s="75">
        <v>41598</v>
      </c>
      <c r="G98" s="27">
        <f>4/18</f>
        <v>0.22222222222222221</v>
      </c>
      <c r="H98" s="63"/>
    </row>
    <row r="99" spans="1:10" x14ac:dyDescent="0.25">
      <c r="A99" s="21">
        <v>18</v>
      </c>
      <c r="B99" s="73" t="s">
        <v>59</v>
      </c>
      <c r="C99" s="146">
        <v>75</v>
      </c>
      <c r="D99" s="73">
        <v>20</v>
      </c>
      <c r="E99" s="146" t="s">
        <v>127</v>
      </c>
      <c r="F99" s="75">
        <v>41598</v>
      </c>
      <c r="G99" s="98" t="s">
        <v>72</v>
      </c>
      <c r="H99" s="88"/>
    </row>
    <row r="100" spans="1:10" x14ac:dyDescent="0.25">
      <c r="A100" s="21">
        <v>19</v>
      </c>
      <c r="B100" s="73" t="s">
        <v>62</v>
      </c>
      <c r="C100" s="146">
        <v>60</v>
      </c>
      <c r="D100" s="73">
        <v>9</v>
      </c>
      <c r="E100" s="146" t="s">
        <v>125</v>
      </c>
      <c r="F100" s="194">
        <v>41591</v>
      </c>
      <c r="G100" s="98" t="s">
        <v>72</v>
      </c>
      <c r="H100" s="66"/>
    </row>
    <row r="101" spans="1:10" x14ac:dyDescent="0.25">
      <c r="A101" s="21">
        <v>20</v>
      </c>
      <c r="B101" s="73" t="s">
        <v>15</v>
      </c>
      <c r="C101" s="146">
        <v>75</v>
      </c>
      <c r="D101" s="73">
        <v>13</v>
      </c>
      <c r="E101" s="192" t="s">
        <v>189</v>
      </c>
      <c r="F101" s="194">
        <v>41898</v>
      </c>
      <c r="G101" s="27">
        <f>17/C101</f>
        <v>0.22666666666666666</v>
      </c>
      <c r="H101" s="66"/>
    </row>
    <row r="102" spans="1:10" x14ac:dyDescent="0.25">
      <c r="A102" s="21">
        <v>21</v>
      </c>
      <c r="B102" s="73" t="s">
        <v>487</v>
      </c>
      <c r="C102" s="146">
        <v>8</v>
      </c>
      <c r="D102" s="73">
        <v>0</v>
      </c>
      <c r="E102" s="192" t="s">
        <v>183</v>
      </c>
      <c r="F102" s="194">
        <v>41900</v>
      </c>
      <c r="G102" s="51" t="s">
        <v>72</v>
      </c>
      <c r="H102" s="66"/>
    </row>
    <row r="103" spans="1:10" x14ac:dyDescent="0.25">
      <c r="A103" s="21">
        <v>22</v>
      </c>
      <c r="B103" s="73" t="s">
        <v>486</v>
      </c>
      <c r="C103" s="146">
        <v>28</v>
      </c>
      <c r="D103" s="73">
        <v>0</v>
      </c>
      <c r="E103" s="73" t="s">
        <v>122</v>
      </c>
      <c r="F103" s="130">
        <v>41596</v>
      </c>
      <c r="G103" s="98" t="s">
        <v>72</v>
      </c>
      <c r="H103" s="63"/>
    </row>
    <row r="104" spans="1:10" x14ac:dyDescent="0.25">
      <c r="A104" s="21">
        <v>23</v>
      </c>
      <c r="B104" s="73" t="s">
        <v>4</v>
      </c>
      <c r="C104" s="146">
        <v>45</v>
      </c>
      <c r="D104" s="73">
        <v>0</v>
      </c>
      <c r="E104" s="195" t="s">
        <v>192</v>
      </c>
      <c r="F104" s="130">
        <v>41890</v>
      </c>
      <c r="G104" s="27">
        <f>20/C104</f>
        <v>0.44444444444444442</v>
      </c>
      <c r="H104" s="63"/>
    </row>
    <row r="105" spans="1:10" x14ac:dyDescent="0.25">
      <c r="A105" s="21">
        <v>24</v>
      </c>
      <c r="B105" s="73" t="s">
        <v>16</v>
      </c>
      <c r="C105" s="146">
        <v>50</v>
      </c>
      <c r="D105" s="73">
        <v>1</v>
      </c>
      <c r="E105" s="195" t="s">
        <v>178</v>
      </c>
      <c r="F105" s="140">
        <v>42306</v>
      </c>
      <c r="G105" s="27">
        <f>17/C105</f>
        <v>0.34</v>
      </c>
      <c r="H105" s="63"/>
    </row>
    <row r="106" spans="1:10" x14ac:dyDescent="0.25">
      <c r="A106" s="21">
        <v>25</v>
      </c>
      <c r="B106" s="73" t="s">
        <v>17</v>
      </c>
      <c r="C106" s="146">
        <v>54</v>
      </c>
      <c r="D106" s="73">
        <v>1</v>
      </c>
      <c r="E106" s="192" t="s">
        <v>187</v>
      </c>
      <c r="F106" s="75">
        <v>41893</v>
      </c>
      <c r="G106" s="27">
        <f>16/C106</f>
        <v>0.29629629629629628</v>
      </c>
      <c r="H106" s="63"/>
    </row>
    <row r="107" spans="1:10" x14ac:dyDescent="0.25">
      <c r="A107" s="21">
        <v>26</v>
      </c>
      <c r="B107" s="102" t="s">
        <v>90</v>
      </c>
      <c r="C107" s="154">
        <v>75</v>
      </c>
      <c r="D107" s="102">
        <v>2</v>
      </c>
      <c r="E107" s="177" t="s">
        <v>206</v>
      </c>
      <c r="F107" s="178">
        <v>41941</v>
      </c>
      <c r="G107" s="95" t="s">
        <v>212</v>
      </c>
      <c r="H107" s="96"/>
    </row>
    <row r="108" spans="1:10" x14ac:dyDescent="0.25">
      <c r="A108" s="21">
        <v>27</v>
      </c>
      <c r="B108" s="102" t="s">
        <v>21</v>
      </c>
      <c r="C108" s="146">
        <v>36</v>
      </c>
      <c r="D108" s="73">
        <v>0</v>
      </c>
      <c r="E108" s="146" t="s">
        <v>113</v>
      </c>
      <c r="F108" s="75">
        <v>41820</v>
      </c>
      <c r="G108" s="63"/>
      <c r="H108" s="67"/>
    </row>
    <row r="109" spans="1:10" x14ac:dyDescent="0.25">
      <c r="A109" s="21">
        <v>28</v>
      </c>
      <c r="B109" s="245" t="s">
        <v>44</v>
      </c>
      <c r="C109" s="146">
        <v>18</v>
      </c>
      <c r="D109" s="73">
        <v>0</v>
      </c>
      <c r="E109" s="146" t="s">
        <v>115</v>
      </c>
      <c r="F109" s="75">
        <v>41606</v>
      </c>
      <c r="G109" s="98" t="s">
        <v>72</v>
      </c>
      <c r="H109" s="67"/>
    </row>
    <row r="110" spans="1:10" x14ac:dyDescent="0.25">
      <c r="A110" s="21">
        <v>29</v>
      </c>
      <c r="B110" s="73" t="s">
        <v>91</v>
      </c>
      <c r="C110" s="146">
        <v>45</v>
      </c>
      <c r="D110" s="73">
        <v>2</v>
      </c>
      <c r="E110" s="146" t="s">
        <v>158</v>
      </c>
      <c r="F110" s="75">
        <v>41842</v>
      </c>
      <c r="G110" s="62">
        <f>21/C110</f>
        <v>0.46666666666666667</v>
      </c>
      <c r="H110" s="67"/>
    </row>
    <row r="111" spans="1:10" x14ac:dyDescent="0.25">
      <c r="A111" s="21">
        <v>30</v>
      </c>
      <c r="B111" s="77" t="s">
        <v>66</v>
      </c>
      <c r="C111" s="73">
        <v>8</v>
      </c>
      <c r="D111" s="89">
        <v>0</v>
      </c>
      <c r="E111" s="73" t="s">
        <v>171</v>
      </c>
      <c r="F111" s="164">
        <v>41583</v>
      </c>
      <c r="G111" s="165">
        <f>SUM(8/8)</f>
        <v>1</v>
      </c>
      <c r="H111" s="77" t="s">
        <v>68</v>
      </c>
      <c r="I111" s="105" t="s">
        <v>244</v>
      </c>
      <c r="J111" s="1"/>
    </row>
    <row r="112" spans="1:10" x14ac:dyDescent="0.25">
      <c r="A112" s="21">
        <v>31</v>
      </c>
      <c r="B112" s="77" t="s">
        <v>67</v>
      </c>
      <c r="C112" s="77">
        <v>4</v>
      </c>
      <c r="D112" s="246">
        <v>0</v>
      </c>
      <c r="E112" s="77" t="s">
        <v>172</v>
      </c>
      <c r="F112" s="164">
        <v>41583</v>
      </c>
      <c r="G112" s="165">
        <f>SUM(4/4)</f>
        <v>1</v>
      </c>
      <c r="H112" s="77" t="s">
        <v>68</v>
      </c>
      <c r="I112" s="105" t="s">
        <v>244</v>
      </c>
      <c r="J112" s="1"/>
    </row>
    <row r="113" spans="1:10" s="2" customFormat="1" x14ac:dyDescent="0.25">
      <c r="A113" s="21">
        <v>32</v>
      </c>
      <c r="B113" s="73" t="s">
        <v>219</v>
      </c>
      <c r="C113" s="77">
        <v>6</v>
      </c>
      <c r="D113" s="89">
        <v>5</v>
      </c>
      <c r="E113" s="73" t="s">
        <v>239</v>
      </c>
      <c r="F113" s="130">
        <v>42180</v>
      </c>
      <c r="G113" s="188">
        <f>5/6</f>
        <v>0.83333333333333337</v>
      </c>
      <c r="H113" s="63"/>
      <c r="I113" s="105" t="s">
        <v>244</v>
      </c>
      <c r="J113" s="1"/>
    </row>
    <row r="114" spans="1:10" ht="15.75" thickBot="1" x14ac:dyDescent="0.3">
      <c r="A114" s="24">
        <v>33</v>
      </c>
      <c r="B114" s="169" t="s">
        <v>33</v>
      </c>
      <c r="C114" s="173">
        <v>18</v>
      </c>
      <c r="D114" s="169">
        <v>0</v>
      </c>
      <c r="E114" s="169" t="s">
        <v>117</v>
      </c>
      <c r="F114" s="171">
        <v>41606</v>
      </c>
      <c r="G114" s="180">
        <f>13/18</f>
        <v>0.72222222222222221</v>
      </c>
      <c r="H114" s="169" t="s">
        <v>68</v>
      </c>
      <c r="I114" s="105" t="s">
        <v>244</v>
      </c>
      <c r="J114" s="1"/>
    </row>
    <row r="115" spans="1:10" s="2" customFormat="1" x14ac:dyDescent="0.25">
      <c r="A115" s="106"/>
      <c r="B115" s="47"/>
      <c r="C115" s="47"/>
      <c r="D115" s="47"/>
      <c r="E115" s="47"/>
      <c r="F115" s="54"/>
      <c r="G115" s="107"/>
      <c r="H115" s="47"/>
      <c r="I115" s="47"/>
      <c r="J115" s="1"/>
    </row>
    <row r="116" spans="1:10" x14ac:dyDescent="0.25">
      <c r="A116" s="2">
        <f>A68+A78+A114</f>
        <v>105</v>
      </c>
      <c r="B116" s="45"/>
      <c r="C116"/>
      <c r="D116"/>
      <c r="E116"/>
      <c r="F116"/>
      <c r="G116"/>
      <c r="H116"/>
    </row>
  </sheetData>
  <sortState ref="B72:H108">
    <sortCondition ref="B72:B108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10" workbookViewId="0">
      <selection activeCell="G26" sqref="G26"/>
    </sheetView>
  </sheetViews>
  <sheetFormatPr defaultRowHeight="15" x14ac:dyDescent="0.25"/>
  <cols>
    <col min="1" max="1" width="3.140625" customWidth="1"/>
    <col min="2" max="2" width="25.140625" customWidth="1"/>
    <col min="4" max="4" width="9.140625" style="2"/>
    <col min="12" max="12" width="9.140625" style="2"/>
    <col min="13" max="13" width="9" customWidth="1"/>
  </cols>
  <sheetData>
    <row r="1" spans="1:6" x14ac:dyDescent="0.25">
      <c r="A1" s="203" t="s">
        <v>401</v>
      </c>
      <c r="C1" s="124" t="s">
        <v>475</v>
      </c>
      <c r="D1" s="124" t="s">
        <v>94</v>
      </c>
      <c r="E1" s="124" t="s">
        <v>404</v>
      </c>
      <c r="F1" s="124" t="s">
        <v>405</v>
      </c>
    </row>
    <row r="2" spans="1:6" x14ac:dyDescent="0.25">
      <c r="A2" s="58">
        <v>1</v>
      </c>
      <c r="B2" s="85" t="s">
        <v>391</v>
      </c>
      <c r="C2" s="58">
        <v>2009</v>
      </c>
      <c r="D2" s="58">
        <v>40</v>
      </c>
      <c r="E2" s="58" t="s">
        <v>398</v>
      </c>
      <c r="F2" s="58" t="s">
        <v>406</v>
      </c>
    </row>
    <row r="3" spans="1:6" x14ac:dyDescent="0.25">
      <c r="A3" s="58">
        <v>2</v>
      </c>
      <c r="B3" s="85" t="s">
        <v>396</v>
      </c>
      <c r="C3" s="58">
        <v>2009</v>
      </c>
      <c r="D3" s="58">
        <v>22</v>
      </c>
      <c r="E3" s="58" t="s">
        <v>398</v>
      </c>
      <c r="F3" s="58" t="s">
        <v>406</v>
      </c>
    </row>
    <row r="4" spans="1:6" x14ac:dyDescent="0.25">
      <c r="A4" s="58">
        <v>3</v>
      </c>
      <c r="B4" s="85" t="s">
        <v>392</v>
      </c>
      <c r="C4" s="58">
        <v>2007</v>
      </c>
      <c r="D4" s="58"/>
      <c r="E4" s="58" t="s">
        <v>398</v>
      </c>
      <c r="F4" s="58" t="s">
        <v>406</v>
      </c>
    </row>
    <row r="5" spans="1:6" x14ac:dyDescent="0.25">
      <c r="A5" s="58">
        <v>4</v>
      </c>
      <c r="B5" s="85" t="s">
        <v>397</v>
      </c>
      <c r="C5" s="58">
        <v>2009</v>
      </c>
      <c r="D5" s="58">
        <v>25</v>
      </c>
      <c r="E5" s="58" t="s">
        <v>399</v>
      </c>
      <c r="F5" s="58" t="s">
        <v>406</v>
      </c>
    </row>
    <row r="6" spans="1:6" x14ac:dyDescent="0.25">
      <c r="A6" s="58">
        <v>5</v>
      </c>
      <c r="B6" s="85" t="s">
        <v>393</v>
      </c>
      <c r="C6" s="58">
        <v>2011</v>
      </c>
      <c r="D6" s="58">
        <v>45</v>
      </c>
      <c r="E6" s="58" t="s">
        <v>398</v>
      </c>
      <c r="F6" s="58" t="s">
        <v>406</v>
      </c>
    </row>
    <row r="7" spans="1:6" x14ac:dyDescent="0.25">
      <c r="A7" s="58">
        <v>6</v>
      </c>
      <c r="B7" s="85" t="s">
        <v>395</v>
      </c>
      <c r="C7" s="58">
        <v>2015</v>
      </c>
      <c r="D7" s="58">
        <v>35</v>
      </c>
      <c r="E7" s="58" t="s">
        <v>400</v>
      </c>
      <c r="F7" s="58" t="s">
        <v>406</v>
      </c>
    </row>
    <row r="8" spans="1:6" x14ac:dyDescent="0.25">
      <c r="A8" s="58">
        <v>7</v>
      </c>
      <c r="B8" s="85" t="s">
        <v>394</v>
      </c>
      <c r="C8" s="58">
        <v>2011</v>
      </c>
      <c r="D8" s="58">
        <v>45</v>
      </c>
      <c r="E8" s="58" t="s">
        <v>400</v>
      </c>
      <c r="F8" s="58" t="s">
        <v>406</v>
      </c>
    </row>
    <row r="9" spans="1:6" x14ac:dyDescent="0.25">
      <c r="A9" s="58">
        <v>8</v>
      </c>
      <c r="B9" s="85" t="s">
        <v>390</v>
      </c>
      <c r="C9" s="58">
        <v>2005</v>
      </c>
      <c r="D9" s="58">
        <v>20</v>
      </c>
      <c r="E9" s="58" t="s">
        <v>398</v>
      </c>
      <c r="F9" s="58" t="s">
        <v>406</v>
      </c>
    </row>
    <row r="11" spans="1:6" x14ac:dyDescent="0.25">
      <c r="A11" s="124" t="s">
        <v>402</v>
      </c>
      <c r="C11" s="124" t="s">
        <v>475</v>
      </c>
      <c r="D11" s="124" t="s">
        <v>94</v>
      </c>
      <c r="E11" s="124" t="s">
        <v>404</v>
      </c>
      <c r="F11" s="124" t="s">
        <v>405</v>
      </c>
    </row>
    <row r="12" spans="1:6" x14ac:dyDescent="0.25">
      <c r="A12" s="58">
        <v>1</v>
      </c>
      <c r="B12" s="58" t="s">
        <v>403</v>
      </c>
      <c r="C12" s="58">
        <v>2014</v>
      </c>
      <c r="D12" s="58">
        <v>40</v>
      </c>
      <c r="E12" s="58" t="s">
        <v>451</v>
      </c>
      <c r="F12" s="58" t="s">
        <v>406</v>
      </c>
    </row>
    <row r="13" spans="1:6" x14ac:dyDescent="0.25">
      <c r="A13" s="47">
        <v>2</v>
      </c>
      <c r="B13" s="58" t="s">
        <v>422</v>
      </c>
      <c r="C13" s="58">
        <v>2013</v>
      </c>
      <c r="D13" s="58">
        <v>44</v>
      </c>
      <c r="E13" s="58" t="s">
        <v>451</v>
      </c>
      <c r="F13" s="58"/>
    </row>
    <row r="14" spans="1:6" x14ac:dyDescent="0.25">
      <c r="A14" s="58">
        <v>3</v>
      </c>
      <c r="B14" s="58" t="s">
        <v>412</v>
      </c>
      <c r="C14" s="58">
        <v>2011</v>
      </c>
      <c r="D14" s="58">
        <v>60</v>
      </c>
      <c r="E14" s="58" t="s">
        <v>451</v>
      </c>
      <c r="F14" s="58"/>
    </row>
    <row r="15" spans="1:6" x14ac:dyDescent="0.25">
      <c r="A15" s="47">
        <v>4</v>
      </c>
      <c r="B15" s="58" t="s">
        <v>413</v>
      </c>
      <c r="C15" s="58">
        <v>2011</v>
      </c>
      <c r="D15" s="58">
        <v>60</v>
      </c>
      <c r="E15" s="58" t="s">
        <v>451</v>
      </c>
      <c r="F15" s="58"/>
    </row>
    <row r="16" spans="1:6" x14ac:dyDescent="0.25">
      <c r="A16" s="58">
        <v>5</v>
      </c>
      <c r="B16" s="58" t="s">
        <v>414</v>
      </c>
      <c r="C16" s="58">
        <v>2014</v>
      </c>
      <c r="D16" s="58">
        <v>45</v>
      </c>
      <c r="E16" s="58" t="s">
        <v>451</v>
      </c>
      <c r="F16" s="58"/>
    </row>
    <row r="17" spans="1:6" x14ac:dyDescent="0.25">
      <c r="A17" s="47">
        <v>6</v>
      </c>
      <c r="B17" s="58" t="s">
        <v>415</v>
      </c>
      <c r="C17" s="58">
        <v>2012</v>
      </c>
      <c r="D17" s="58">
        <v>26</v>
      </c>
      <c r="E17" s="58" t="s">
        <v>451</v>
      </c>
      <c r="F17" s="58"/>
    </row>
    <row r="18" spans="1:6" x14ac:dyDescent="0.25">
      <c r="A18" s="58">
        <v>7</v>
      </c>
      <c r="B18" s="58" t="s">
        <v>416</v>
      </c>
      <c r="C18" s="58">
        <v>2011</v>
      </c>
      <c r="D18" s="58">
        <v>22</v>
      </c>
      <c r="E18" s="58" t="s">
        <v>451</v>
      </c>
      <c r="F18" s="58"/>
    </row>
    <row r="19" spans="1:6" s="2" customFormat="1" x14ac:dyDescent="0.25">
      <c r="A19" s="47">
        <v>8</v>
      </c>
      <c r="B19" s="58" t="s">
        <v>417</v>
      </c>
      <c r="C19" s="58">
        <v>2015</v>
      </c>
      <c r="D19" s="58">
        <v>8</v>
      </c>
      <c r="E19" s="58" t="s">
        <v>451</v>
      </c>
      <c r="F19" s="58"/>
    </row>
    <row r="20" spans="1:6" x14ac:dyDescent="0.25">
      <c r="A20" s="58">
        <v>9</v>
      </c>
      <c r="B20" s="58" t="s">
        <v>418</v>
      </c>
      <c r="C20" s="58">
        <v>2011</v>
      </c>
      <c r="D20" s="58">
        <v>60</v>
      </c>
      <c r="E20" s="58" t="s">
        <v>451</v>
      </c>
      <c r="F20" s="58"/>
    </row>
    <row r="21" spans="1:6" x14ac:dyDescent="0.25">
      <c r="A21" s="47">
        <v>10</v>
      </c>
      <c r="B21" s="58" t="s">
        <v>419</v>
      </c>
      <c r="C21" s="58">
        <v>2011</v>
      </c>
      <c r="D21" s="58">
        <v>60</v>
      </c>
      <c r="E21" s="58" t="s">
        <v>451</v>
      </c>
      <c r="F21" s="58"/>
    </row>
    <row r="22" spans="1:6" x14ac:dyDescent="0.25">
      <c r="A22" s="58">
        <v>11</v>
      </c>
      <c r="B22" s="58" t="s">
        <v>420</v>
      </c>
      <c r="C22" s="58">
        <v>2011</v>
      </c>
      <c r="D22" s="58">
        <v>60</v>
      </c>
      <c r="E22" s="58" t="s">
        <v>451</v>
      </c>
      <c r="F22" s="58"/>
    </row>
    <row r="23" spans="1:6" x14ac:dyDescent="0.25">
      <c r="A23" s="47">
        <v>12</v>
      </c>
      <c r="B23" s="58" t="s">
        <v>423</v>
      </c>
      <c r="C23" s="58">
        <v>2015</v>
      </c>
      <c r="D23" s="58">
        <v>45</v>
      </c>
      <c r="E23" s="58" t="s">
        <v>451</v>
      </c>
      <c r="F23" s="58"/>
    </row>
    <row r="24" spans="1:6" s="2" customFormat="1" x14ac:dyDescent="0.25">
      <c r="A24" s="58">
        <v>13</v>
      </c>
      <c r="B24" s="58" t="s">
        <v>424</v>
      </c>
      <c r="C24" s="58">
        <v>2013</v>
      </c>
      <c r="D24" s="58">
        <v>20</v>
      </c>
      <c r="E24" s="58" t="s">
        <v>451</v>
      </c>
      <c r="F24" s="58"/>
    </row>
    <row r="25" spans="1:6" s="2" customFormat="1" x14ac:dyDescent="0.25">
      <c r="A25" s="47">
        <v>14</v>
      </c>
      <c r="B25" s="58" t="s">
        <v>425</v>
      </c>
      <c r="C25" s="58">
        <v>2014</v>
      </c>
      <c r="D25" s="58">
        <v>35</v>
      </c>
      <c r="E25" s="58" t="s">
        <v>451</v>
      </c>
      <c r="F25" s="58"/>
    </row>
    <row r="26" spans="1:6" x14ac:dyDescent="0.25">
      <c r="A26" s="58">
        <v>15</v>
      </c>
      <c r="B26" s="58" t="s">
        <v>426</v>
      </c>
      <c r="C26" s="58">
        <v>2014</v>
      </c>
      <c r="D26" s="58">
        <v>54</v>
      </c>
      <c r="E26" s="58" t="s">
        <v>451</v>
      </c>
      <c r="F26" s="58"/>
    </row>
    <row r="27" spans="1:6" s="2" customFormat="1" x14ac:dyDescent="0.25">
      <c r="A27" s="47">
        <v>16</v>
      </c>
      <c r="B27" s="58" t="s">
        <v>427</v>
      </c>
      <c r="C27" s="58">
        <v>2015</v>
      </c>
      <c r="D27" s="58">
        <v>60</v>
      </c>
      <c r="E27" s="58" t="s">
        <v>451</v>
      </c>
      <c r="F27" s="58"/>
    </row>
    <row r="28" spans="1:6" s="2" customFormat="1" x14ac:dyDescent="0.25">
      <c r="A28" s="58">
        <v>17</v>
      </c>
      <c r="B28" s="58" t="s">
        <v>428</v>
      </c>
      <c r="C28" s="58">
        <v>2014</v>
      </c>
      <c r="D28" s="58">
        <v>45</v>
      </c>
      <c r="E28" s="58" t="s">
        <v>451</v>
      </c>
      <c r="F28" s="58"/>
    </row>
    <row r="29" spans="1:6" x14ac:dyDescent="0.25">
      <c r="A29" s="47">
        <v>18</v>
      </c>
      <c r="B29" s="58" t="s">
        <v>429</v>
      </c>
      <c r="C29" s="58">
        <v>2014</v>
      </c>
      <c r="D29" s="58">
        <v>72</v>
      </c>
      <c r="E29" s="58" t="s">
        <v>451</v>
      </c>
      <c r="F29" s="58" t="s">
        <v>406</v>
      </c>
    </row>
    <row r="30" spans="1:6" x14ac:dyDescent="0.25">
      <c r="A30" s="58">
        <v>19</v>
      </c>
      <c r="B30" s="58" t="s">
        <v>430</v>
      </c>
      <c r="C30" s="58">
        <v>2014</v>
      </c>
      <c r="D30" s="58">
        <v>72</v>
      </c>
      <c r="E30" s="58" t="s">
        <v>451</v>
      </c>
      <c r="F30" s="58" t="s">
        <v>406</v>
      </c>
    </row>
    <row r="31" spans="1:6" s="2" customFormat="1" x14ac:dyDescent="0.25">
      <c r="A31" s="47">
        <v>20</v>
      </c>
      <c r="B31" s="58" t="s">
        <v>431</v>
      </c>
      <c r="C31" s="58">
        <v>2015</v>
      </c>
      <c r="D31" s="58">
        <v>45</v>
      </c>
      <c r="E31" s="58" t="s">
        <v>451</v>
      </c>
      <c r="F31" s="58"/>
    </row>
    <row r="32" spans="1:6" x14ac:dyDescent="0.25">
      <c r="A32" s="58">
        <v>21</v>
      </c>
      <c r="B32" s="58" t="s">
        <v>432</v>
      </c>
      <c r="C32" s="58">
        <v>2014</v>
      </c>
      <c r="D32" s="58">
        <v>72</v>
      </c>
      <c r="E32" s="58" t="s">
        <v>451</v>
      </c>
      <c r="F32" s="58"/>
    </row>
    <row r="33" spans="1:6" s="2" customFormat="1" x14ac:dyDescent="0.25">
      <c r="A33" s="47">
        <v>22</v>
      </c>
      <c r="B33" s="58" t="s">
        <v>433</v>
      </c>
      <c r="C33" s="58">
        <v>2014</v>
      </c>
      <c r="D33" s="58">
        <v>60</v>
      </c>
      <c r="E33" s="58" t="s">
        <v>451</v>
      </c>
      <c r="F33" s="58"/>
    </row>
    <row r="34" spans="1:6" s="2" customFormat="1" x14ac:dyDescent="0.25">
      <c r="A34" s="58">
        <v>23</v>
      </c>
      <c r="B34" s="58" t="s">
        <v>434</v>
      </c>
      <c r="C34" s="58">
        <v>2014</v>
      </c>
      <c r="D34" s="58">
        <v>72</v>
      </c>
      <c r="E34" s="58" t="s">
        <v>451</v>
      </c>
      <c r="F34" s="58"/>
    </row>
    <row r="35" spans="1:6" x14ac:dyDescent="0.25">
      <c r="A35" s="47">
        <v>24</v>
      </c>
      <c r="B35" s="58" t="s">
        <v>421</v>
      </c>
      <c r="C35" s="58">
        <v>2011</v>
      </c>
      <c r="D35" s="58">
        <v>40</v>
      </c>
      <c r="E35" s="58" t="s">
        <v>451</v>
      </c>
      <c r="F35" s="58"/>
    </row>
    <row r="36" spans="1:6" x14ac:dyDescent="0.25">
      <c r="A36" s="58">
        <v>25</v>
      </c>
      <c r="B36" s="58" t="s">
        <v>407</v>
      </c>
      <c r="C36" s="58">
        <v>2011</v>
      </c>
      <c r="D36" s="58">
        <v>60</v>
      </c>
      <c r="E36" s="58" t="s">
        <v>451</v>
      </c>
      <c r="F36" s="58"/>
    </row>
    <row r="37" spans="1:6" x14ac:dyDescent="0.25">
      <c r="A37" s="47">
        <v>26</v>
      </c>
      <c r="B37" s="58" t="s">
        <v>408</v>
      </c>
      <c r="C37" s="58">
        <v>2011</v>
      </c>
      <c r="D37" s="58">
        <v>60</v>
      </c>
      <c r="E37" s="58" t="s">
        <v>451</v>
      </c>
      <c r="F37" s="58"/>
    </row>
    <row r="38" spans="1:6" x14ac:dyDescent="0.25">
      <c r="A38" s="58">
        <v>27</v>
      </c>
      <c r="B38" s="58" t="s">
        <v>409</v>
      </c>
      <c r="C38" s="58">
        <v>2011</v>
      </c>
      <c r="D38" s="58">
        <v>60</v>
      </c>
      <c r="E38" s="58" t="s">
        <v>451</v>
      </c>
      <c r="F38" s="58"/>
    </row>
    <row r="39" spans="1:6" x14ac:dyDescent="0.25">
      <c r="A39" s="47">
        <v>28</v>
      </c>
      <c r="B39" s="58" t="s">
        <v>410</v>
      </c>
      <c r="C39" s="58">
        <v>2011</v>
      </c>
      <c r="D39" s="58">
        <v>105</v>
      </c>
      <c r="E39" s="58" t="s">
        <v>451</v>
      </c>
      <c r="F39" s="58"/>
    </row>
    <row r="40" spans="1:6" x14ac:dyDescent="0.25">
      <c r="A40" s="58">
        <v>29</v>
      </c>
      <c r="B40" s="58" t="s">
        <v>411</v>
      </c>
      <c r="C40" s="58">
        <v>2011</v>
      </c>
      <c r="D40" s="58">
        <v>54</v>
      </c>
      <c r="E40" s="58" t="s">
        <v>451</v>
      </c>
      <c r="F40" s="58"/>
    </row>
    <row r="41" spans="1:6" x14ac:dyDescent="0.25">
      <c r="A41" s="47">
        <v>30</v>
      </c>
      <c r="B41" s="58" t="s">
        <v>435</v>
      </c>
      <c r="C41" s="58">
        <v>2013</v>
      </c>
      <c r="D41" s="58">
        <v>60</v>
      </c>
      <c r="E41" s="58" t="s">
        <v>451</v>
      </c>
      <c r="F41" s="58"/>
    </row>
    <row r="42" spans="1:6" x14ac:dyDescent="0.25">
      <c r="A42" s="58">
        <v>31</v>
      </c>
      <c r="B42" s="58" t="s">
        <v>436</v>
      </c>
      <c r="C42" s="58">
        <v>2014</v>
      </c>
      <c r="D42" s="58">
        <v>60</v>
      </c>
      <c r="E42" s="58" t="s">
        <v>451</v>
      </c>
      <c r="F42" s="58"/>
    </row>
    <row r="43" spans="1:6" x14ac:dyDescent="0.25">
      <c r="A43" s="47">
        <v>32</v>
      </c>
      <c r="B43" s="58" t="s">
        <v>437</v>
      </c>
      <c r="C43" s="58">
        <v>2013</v>
      </c>
      <c r="D43" s="58">
        <v>60</v>
      </c>
      <c r="E43" s="58" t="s">
        <v>451</v>
      </c>
      <c r="F43" s="58"/>
    </row>
    <row r="44" spans="1:6" x14ac:dyDescent="0.25">
      <c r="A44" s="58">
        <v>33</v>
      </c>
      <c r="B44" s="58" t="s">
        <v>438</v>
      </c>
      <c r="C44" s="58">
        <v>2014</v>
      </c>
      <c r="D44" s="58">
        <v>60</v>
      </c>
      <c r="E44" s="58" t="s">
        <v>451</v>
      </c>
      <c r="F44" s="58" t="s">
        <v>406</v>
      </c>
    </row>
    <row r="45" spans="1:6" s="2" customFormat="1" x14ac:dyDescent="0.25">
      <c r="A45" s="47">
        <v>34</v>
      </c>
      <c r="B45" s="58" t="s">
        <v>440</v>
      </c>
      <c r="C45" s="58">
        <v>2015</v>
      </c>
      <c r="D45" s="58">
        <v>60</v>
      </c>
      <c r="E45" s="58" t="s">
        <v>451</v>
      </c>
      <c r="F45" s="58"/>
    </row>
    <row r="46" spans="1:6" s="2" customFormat="1" x14ac:dyDescent="0.25">
      <c r="A46" s="58">
        <v>35</v>
      </c>
      <c r="B46" s="58" t="s">
        <v>441</v>
      </c>
      <c r="C46" s="58">
        <v>2014</v>
      </c>
      <c r="D46" s="58">
        <v>45</v>
      </c>
      <c r="E46" s="58" t="s">
        <v>451</v>
      </c>
      <c r="F46" s="58"/>
    </row>
    <row r="47" spans="1:6" s="2" customFormat="1" x14ac:dyDescent="0.25">
      <c r="A47" s="47">
        <v>36</v>
      </c>
      <c r="B47" s="58" t="s">
        <v>442</v>
      </c>
      <c r="C47" s="58">
        <v>2014</v>
      </c>
      <c r="D47" s="58">
        <v>45</v>
      </c>
      <c r="E47" s="58" t="s">
        <v>451</v>
      </c>
      <c r="F47" s="58"/>
    </row>
    <row r="48" spans="1:6" s="2" customFormat="1" x14ac:dyDescent="0.25">
      <c r="A48" s="58">
        <v>37</v>
      </c>
      <c r="B48" s="58" t="s">
        <v>439</v>
      </c>
      <c r="C48" s="58">
        <v>2014</v>
      </c>
      <c r="D48" s="58">
        <v>44</v>
      </c>
      <c r="E48" s="58" t="s">
        <v>451</v>
      </c>
      <c r="F48" s="58"/>
    </row>
    <row r="49" spans="1:6" x14ac:dyDescent="0.25">
      <c r="A49" s="47">
        <v>38</v>
      </c>
      <c r="B49" s="58" t="s">
        <v>443</v>
      </c>
      <c r="C49" s="58">
        <v>2013</v>
      </c>
      <c r="D49" s="58">
        <v>60</v>
      </c>
      <c r="E49" s="58" t="s">
        <v>451</v>
      </c>
      <c r="F49" s="58"/>
    </row>
    <row r="50" spans="1:6" x14ac:dyDescent="0.25">
      <c r="A50" s="58">
        <v>39</v>
      </c>
      <c r="B50" s="58" t="s">
        <v>444</v>
      </c>
      <c r="C50" s="58">
        <v>2014</v>
      </c>
      <c r="D50" s="58">
        <v>60</v>
      </c>
      <c r="E50" s="58" t="s">
        <v>451</v>
      </c>
      <c r="F50" s="58"/>
    </row>
    <row r="51" spans="1:6" s="2" customFormat="1" x14ac:dyDescent="0.25">
      <c r="A51" s="47">
        <v>40</v>
      </c>
      <c r="B51" s="58" t="s">
        <v>445</v>
      </c>
      <c r="C51" s="58">
        <v>2014</v>
      </c>
      <c r="D51" s="58">
        <v>7</v>
      </c>
      <c r="E51" s="58" t="s">
        <v>451</v>
      </c>
      <c r="F51" s="58"/>
    </row>
    <row r="52" spans="1:6" x14ac:dyDescent="0.25">
      <c r="A52" s="58">
        <v>41</v>
      </c>
      <c r="B52" s="58" t="s">
        <v>446</v>
      </c>
      <c r="C52" s="58">
        <v>2014</v>
      </c>
      <c r="D52" s="58">
        <v>21</v>
      </c>
      <c r="E52" s="58" t="s">
        <v>451</v>
      </c>
      <c r="F52" s="58"/>
    </row>
    <row r="53" spans="1:6" x14ac:dyDescent="0.25">
      <c r="A53" s="47">
        <v>42</v>
      </c>
      <c r="B53" s="58" t="s">
        <v>447</v>
      </c>
      <c r="C53" s="58">
        <v>2013</v>
      </c>
      <c r="D53" s="58">
        <v>60</v>
      </c>
      <c r="E53" s="58" t="s">
        <v>451</v>
      </c>
      <c r="F53" s="58"/>
    </row>
    <row r="54" spans="1:6" s="2" customFormat="1" x14ac:dyDescent="0.25">
      <c r="A54" s="58">
        <v>43</v>
      </c>
      <c r="B54" s="58" t="s">
        <v>448</v>
      </c>
      <c r="C54" s="58">
        <v>2012</v>
      </c>
      <c r="D54" s="58">
        <v>45</v>
      </c>
      <c r="E54" s="58" t="s">
        <v>451</v>
      </c>
      <c r="F54" s="58"/>
    </row>
    <row r="55" spans="1:6" x14ac:dyDescent="0.25">
      <c r="A55" s="85">
        <v>44</v>
      </c>
      <c r="B55" s="58" t="s">
        <v>449</v>
      </c>
      <c r="C55" s="58">
        <v>2014</v>
      </c>
      <c r="D55" s="58">
        <v>44</v>
      </c>
      <c r="E55" s="58" t="s">
        <v>451</v>
      </c>
      <c r="F55" s="58"/>
    </row>
    <row r="56" spans="1:6" x14ac:dyDescent="0.25">
      <c r="A56" s="58"/>
      <c r="B56" s="85" t="s">
        <v>492</v>
      </c>
      <c r="C56" s="58">
        <v>2015</v>
      </c>
      <c r="D56" s="58">
        <v>45</v>
      </c>
      <c r="E56" s="58" t="s">
        <v>451</v>
      </c>
      <c r="F56" s="58"/>
    </row>
    <row r="57" spans="1:6" x14ac:dyDescent="0.25">
      <c r="A57" s="58">
        <v>45</v>
      </c>
      <c r="B57" s="58" t="s">
        <v>450</v>
      </c>
      <c r="C57" s="58">
        <v>2014</v>
      </c>
      <c r="D57" s="58">
        <v>64</v>
      </c>
      <c r="E57" s="58" t="s">
        <v>451</v>
      </c>
      <c r="F57" s="58"/>
    </row>
    <row r="59" spans="1:6" s="2" customFormat="1" x14ac:dyDescent="0.25">
      <c r="A59" s="124" t="s">
        <v>452</v>
      </c>
      <c r="D59" s="124" t="s">
        <v>94</v>
      </c>
    </row>
    <row r="60" spans="1:6" s="2" customFormat="1" x14ac:dyDescent="0.25">
      <c r="A60" s="58">
        <v>1</v>
      </c>
      <c r="B60" s="58" t="s">
        <v>453</v>
      </c>
      <c r="C60" s="58">
        <v>2009</v>
      </c>
      <c r="D60" s="58">
        <v>30</v>
      </c>
      <c r="E60" s="58"/>
      <c r="F60" s="58"/>
    </row>
    <row r="61" spans="1:6" s="2" customFormat="1" x14ac:dyDescent="0.25">
      <c r="A61" s="58">
        <v>2</v>
      </c>
      <c r="B61" s="58" t="s">
        <v>454</v>
      </c>
      <c r="C61" s="58">
        <v>2012</v>
      </c>
      <c r="D61" s="58">
        <v>72</v>
      </c>
      <c r="E61" s="58"/>
      <c r="F61" s="58"/>
    </row>
    <row r="62" spans="1:6" s="2" customFormat="1" x14ac:dyDescent="0.25"/>
    <row r="63" spans="1:6" s="2" customFormat="1" x14ac:dyDescent="0.25">
      <c r="B63" s="58" t="s">
        <v>1023</v>
      </c>
      <c r="C63" s="58"/>
      <c r="D63" s="58"/>
      <c r="E63" s="58"/>
      <c r="F63" s="58">
        <f>8+46+2</f>
        <v>56</v>
      </c>
    </row>
    <row r="64" spans="1:6" s="2" customFormat="1" x14ac:dyDescent="0.25">
      <c r="B64" s="236" t="s">
        <v>466</v>
      </c>
      <c r="C64" s="5"/>
      <c r="D64" s="5"/>
      <c r="E64" s="114"/>
      <c r="F64" s="204">
        <v>53</v>
      </c>
    </row>
    <row r="65" spans="1:13" s="2" customFormat="1" x14ac:dyDescent="0.25">
      <c r="B65" s="236" t="s">
        <v>1024</v>
      </c>
      <c r="C65" s="5"/>
      <c r="D65" s="5"/>
      <c r="E65" s="114"/>
      <c r="F65" s="204">
        <v>3</v>
      </c>
    </row>
    <row r="66" spans="1:13" s="2" customFormat="1" x14ac:dyDescent="0.25"/>
    <row r="67" spans="1:13" s="2" customFormat="1" x14ac:dyDescent="0.25">
      <c r="A67" s="82" t="s">
        <v>463</v>
      </c>
      <c r="B67" s="58"/>
      <c r="C67" s="82" t="s">
        <v>462</v>
      </c>
      <c r="D67" s="237" t="s">
        <v>1025</v>
      </c>
      <c r="E67" s="82">
        <v>2009</v>
      </c>
      <c r="F67" s="82">
        <v>2010</v>
      </c>
      <c r="G67" s="82">
        <v>2011</v>
      </c>
      <c r="H67" s="82">
        <v>2012</v>
      </c>
      <c r="I67" s="82">
        <v>2013</v>
      </c>
      <c r="J67" s="82">
        <v>2014</v>
      </c>
      <c r="K67" s="82">
        <v>2015</v>
      </c>
      <c r="L67" s="82">
        <v>2016</v>
      </c>
      <c r="M67" s="82">
        <v>2017</v>
      </c>
    </row>
    <row r="68" spans="1:13" x14ac:dyDescent="0.25">
      <c r="A68" s="58">
        <v>1</v>
      </c>
      <c r="B68" s="58" t="s">
        <v>455</v>
      </c>
      <c r="C68" s="58">
        <f>SUM(D68:K68)</f>
        <v>8</v>
      </c>
      <c r="D68" s="58">
        <v>2</v>
      </c>
      <c r="E68" s="58">
        <v>3</v>
      </c>
      <c r="F68" s="58">
        <v>0</v>
      </c>
      <c r="G68" s="58">
        <v>2</v>
      </c>
      <c r="H68" s="58">
        <v>0</v>
      </c>
      <c r="I68" s="58">
        <v>0</v>
      </c>
      <c r="J68" s="58">
        <v>0</v>
      </c>
      <c r="K68" s="58">
        <v>1</v>
      </c>
      <c r="L68" s="58">
        <v>0</v>
      </c>
      <c r="M68" s="58"/>
    </row>
    <row r="69" spans="1:13" x14ac:dyDescent="0.25">
      <c r="A69" s="58">
        <v>2</v>
      </c>
      <c r="B69" s="85" t="s">
        <v>458</v>
      </c>
      <c r="C69" s="58">
        <f>SUM(D69:K69)</f>
        <v>45.5</v>
      </c>
      <c r="D69" s="58">
        <f t="shared" ref="D69:L69" si="0">SUM(D70:D71)</f>
        <v>0</v>
      </c>
      <c r="E69" s="58">
        <f t="shared" si="0"/>
        <v>0</v>
      </c>
      <c r="F69" s="58">
        <f t="shared" si="0"/>
        <v>0</v>
      </c>
      <c r="G69" s="58">
        <f t="shared" si="0"/>
        <v>12</v>
      </c>
      <c r="H69" s="58">
        <f t="shared" si="0"/>
        <v>2</v>
      </c>
      <c r="I69" s="58">
        <f t="shared" si="0"/>
        <v>6</v>
      </c>
      <c r="J69" s="58">
        <f t="shared" si="0"/>
        <v>20</v>
      </c>
      <c r="K69" s="58">
        <f t="shared" si="0"/>
        <v>5.5</v>
      </c>
      <c r="L69" s="58">
        <f t="shared" si="0"/>
        <v>0</v>
      </c>
      <c r="M69" s="58"/>
    </row>
    <row r="70" spans="1:13" x14ac:dyDescent="0.25">
      <c r="A70" s="58"/>
      <c r="B70" s="58" t="s">
        <v>456</v>
      </c>
      <c r="C70" s="58">
        <f>SUM(D70:K70)</f>
        <v>4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4</v>
      </c>
      <c r="K70" s="58">
        <v>0</v>
      </c>
      <c r="L70" s="58">
        <v>0</v>
      </c>
      <c r="M70" s="58"/>
    </row>
    <row r="71" spans="1:13" x14ac:dyDescent="0.25">
      <c r="A71" s="58"/>
      <c r="B71" s="58" t="s">
        <v>457</v>
      </c>
      <c r="C71" s="58">
        <f>SUM(D71:K71)</f>
        <v>41.5</v>
      </c>
      <c r="D71" s="58">
        <v>0</v>
      </c>
      <c r="E71" s="58">
        <v>0</v>
      </c>
      <c r="F71" s="58">
        <v>0</v>
      </c>
      <c r="G71" s="58">
        <v>12</v>
      </c>
      <c r="H71" s="58">
        <v>2</v>
      </c>
      <c r="I71" s="58">
        <v>6</v>
      </c>
      <c r="J71" s="58">
        <v>16</v>
      </c>
      <c r="K71" s="58">
        <v>5.5</v>
      </c>
      <c r="L71" s="58">
        <v>0</v>
      </c>
      <c r="M71" s="58"/>
    </row>
    <row r="72" spans="1:13" x14ac:dyDescent="0.25">
      <c r="A72" s="58">
        <v>3</v>
      </c>
      <c r="B72" s="58" t="s">
        <v>459</v>
      </c>
      <c r="C72" s="58">
        <f>SUM(D72:M72)</f>
        <v>51</v>
      </c>
      <c r="D72" s="58">
        <f>SUM(D73:D76)</f>
        <v>0</v>
      </c>
      <c r="E72" s="58">
        <f t="shared" ref="E72:L72" si="1">SUM(E73:E76)</f>
        <v>0</v>
      </c>
      <c r="F72" s="58">
        <f t="shared" si="1"/>
        <v>0</v>
      </c>
      <c r="G72" s="58">
        <f t="shared" si="1"/>
        <v>0</v>
      </c>
      <c r="H72" s="58">
        <f t="shared" si="1"/>
        <v>0</v>
      </c>
      <c r="I72" s="58">
        <f t="shared" si="1"/>
        <v>0</v>
      </c>
      <c r="J72" s="58">
        <f t="shared" si="1"/>
        <v>0</v>
      </c>
      <c r="K72" s="58">
        <f t="shared" si="1"/>
        <v>21</v>
      </c>
      <c r="L72" s="58">
        <f t="shared" si="1"/>
        <v>30</v>
      </c>
      <c r="M72" s="58"/>
    </row>
    <row r="73" spans="1:13" x14ac:dyDescent="0.25">
      <c r="A73" s="58"/>
      <c r="B73" s="58" t="s">
        <v>455</v>
      </c>
      <c r="C73" s="58">
        <f>SUM(D73:M73)</f>
        <v>1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1</v>
      </c>
      <c r="M73" s="58"/>
    </row>
    <row r="74" spans="1:13" x14ac:dyDescent="0.25">
      <c r="A74" s="58"/>
      <c r="B74" s="58" t="s">
        <v>460</v>
      </c>
      <c r="C74" s="58">
        <f>SUM(D74:M74)</f>
        <v>3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1</v>
      </c>
      <c r="L74" s="58">
        <v>2</v>
      </c>
      <c r="M74" s="58"/>
    </row>
    <row r="75" spans="1:13" x14ac:dyDescent="0.25">
      <c r="A75" s="58"/>
      <c r="B75" s="58" t="s">
        <v>461</v>
      </c>
      <c r="C75" s="58">
        <f>SUM(D75:M75)</f>
        <v>47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20</v>
      </c>
      <c r="L75" s="58">
        <v>27</v>
      </c>
      <c r="M75" s="58"/>
    </row>
    <row r="76" spans="1:13" s="2" customFormat="1" x14ac:dyDescent="0.25">
      <c r="A76" s="58"/>
      <c r="B76" s="58" t="s">
        <v>474</v>
      </c>
      <c r="C76" s="58">
        <f>SUM(D76:M76)</f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/>
    </row>
    <row r="77" spans="1:13" x14ac:dyDescent="0.25">
      <c r="A77" s="58"/>
      <c r="B77" s="58"/>
      <c r="C77" s="82">
        <f>C68+C69+C72</f>
        <v>104.5</v>
      </c>
      <c r="D77" s="82">
        <f t="shared" ref="D77:K77" si="2">D68+D69+D72</f>
        <v>2</v>
      </c>
      <c r="E77" s="82">
        <f t="shared" si="2"/>
        <v>3</v>
      </c>
      <c r="F77" s="82">
        <f t="shared" si="2"/>
        <v>0</v>
      </c>
      <c r="G77" s="82">
        <f t="shared" si="2"/>
        <v>14</v>
      </c>
      <c r="H77" s="82">
        <f t="shared" si="2"/>
        <v>2</v>
      </c>
      <c r="I77" s="82">
        <f t="shared" si="2"/>
        <v>6</v>
      </c>
      <c r="J77" s="82">
        <f t="shared" si="2"/>
        <v>20</v>
      </c>
      <c r="K77" s="82">
        <f t="shared" si="2"/>
        <v>27.5</v>
      </c>
      <c r="L77" s="82">
        <f>L68+L69+L72</f>
        <v>30</v>
      </c>
      <c r="M77" s="58"/>
    </row>
    <row r="78" spans="1:13" s="2" customFormat="1" x14ac:dyDescent="0.25">
      <c r="A78" s="204"/>
      <c r="B78" s="204" t="s">
        <v>467</v>
      </c>
      <c r="C78" s="204">
        <f>SUM(D78:M78)</f>
        <v>99.5</v>
      </c>
      <c r="D78" s="204">
        <v>2</v>
      </c>
      <c r="E78" s="204">
        <v>3</v>
      </c>
      <c r="F78" s="204">
        <v>0</v>
      </c>
      <c r="G78" s="204">
        <v>14</v>
      </c>
      <c r="H78" s="204">
        <v>1</v>
      </c>
      <c r="I78" s="204">
        <v>5</v>
      </c>
      <c r="J78" s="204">
        <v>19</v>
      </c>
      <c r="K78" s="204">
        <v>27.5</v>
      </c>
      <c r="L78" s="204">
        <v>28</v>
      </c>
      <c r="M78" s="58"/>
    </row>
    <row r="79" spans="1:13" s="2" customFormat="1" x14ac:dyDescent="0.25">
      <c r="A79" s="204"/>
      <c r="B79" s="205" t="s">
        <v>468</v>
      </c>
      <c r="C79" s="204">
        <f>SUM(D79:M79)</f>
        <v>5</v>
      </c>
      <c r="D79" s="204">
        <v>0</v>
      </c>
      <c r="E79" s="204">
        <v>0</v>
      </c>
      <c r="F79" s="204">
        <v>0</v>
      </c>
      <c r="G79" s="204">
        <v>0</v>
      </c>
      <c r="H79" s="204">
        <v>1</v>
      </c>
      <c r="I79" s="204">
        <v>1</v>
      </c>
      <c r="J79" s="204">
        <v>1</v>
      </c>
      <c r="K79" s="204">
        <v>0</v>
      </c>
      <c r="L79" s="204">
        <v>2</v>
      </c>
      <c r="M79" s="58"/>
    </row>
    <row r="80" spans="1:13" s="2" customFormat="1" x14ac:dyDescent="0.25">
      <c r="A80" t="s">
        <v>464</v>
      </c>
      <c r="B80"/>
      <c r="C80">
        <f>C68+C70+C73+C74</f>
        <v>16</v>
      </c>
    </row>
    <row r="81" spans="1:13" x14ac:dyDescent="0.25">
      <c r="A81" t="s">
        <v>465</v>
      </c>
      <c r="C81">
        <f>C71+C75</f>
        <v>88.5</v>
      </c>
    </row>
    <row r="83" spans="1:13" x14ac:dyDescent="0.25">
      <c r="A83" s="82" t="s">
        <v>469</v>
      </c>
      <c r="B83" s="58"/>
      <c r="C83" s="82" t="s">
        <v>476</v>
      </c>
      <c r="D83" s="237" t="s">
        <v>1025</v>
      </c>
      <c r="E83" s="82">
        <v>2009</v>
      </c>
      <c r="F83" s="82">
        <v>2010</v>
      </c>
      <c r="G83" s="82">
        <v>2011</v>
      </c>
      <c r="H83" s="82">
        <v>2012</v>
      </c>
      <c r="I83" s="82">
        <v>2013</v>
      </c>
      <c r="J83" s="82">
        <v>2014</v>
      </c>
      <c r="K83" s="82">
        <v>2015</v>
      </c>
      <c r="L83" s="82">
        <v>2016</v>
      </c>
      <c r="M83" s="82">
        <v>2017</v>
      </c>
    </row>
    <row r="84" spans="1:13" x14ac:dyDescent="0.25">
      <c r="A84" s="58"/>
      <c r="B84" s="58" t="s">
        <v>470</v>
      </c>
      <c r="C84" s="58">
        <f>SUM(C85:C88)</f>
        <v>462</v>
      </c>
      <c r="D84" s="206">
        <f>D77/$C$84</f>
        <v>4.329004329004329E-3</v>
      </c>
      <c r="E84" s="206">
        <f>SUM($D$77:E77)/$C$84</f>
        <v>1.0822510822510822E-2</v>
      </c>
      <c r="F84" s="206">
        <f>SUM($D$77:F77)/$C$84</f>
        <v>1.0822510822510822E-2</v>
      </c>
      <c r="G84" s="206">
        <f>SUM($D$77:G77)/$C$84</f>
        <v>4.1125541125541128E-2</v>
      </c>
      <c r="H84" s="206">
        <f>SUM($D$77:H77)/$C$84</f>
        <v>4.5454545454545456E-2</v>
      </c>
      <c r="I84" s="206">
        <f>SUM($D$77:I77)/$C$84</f>
        <v>5.844155844155844E-2</v>
      </c>
      <c r="J84" s="206">
        <f>SUM($D$77:J77)/$C$84</f>
        <v>0.10173160173160173</v>
      </c>
      <c r="K84" s="206">
        <f>SUM($D$77:K77)/$C$84</f>
        <v>0.16125541125541126</v>
      </c>
      <c r="L84" s="206">
        <f>SUM($D$77:L77)/$C$84</f>
        <v>0.22619047619047619</v>
      </c>
      <c r="M84" s="247"/>
    </row>
    <row r="85" spans="1:13" x14ac:dyDescent="0.25">
      <c r="A85" s="58"/>
      <c r="B85" s="58" t="s">
        <v>471</v>
      </c>
      <c r="C85" s="58">
        <v>45</v>
      </c>
      <c r="D85" s="206">
        <f>(D68+D70+D73+D74)/$C$85</f>
        <v>4.4444444444444446E-2</v>
      </c>
      <c r="E85" s="206">
        <f>(SUM($D$68:E68)+SUM($D$70:E70)+SUM($D$73:E73)+SUM($D$74:E74))/$C$85</f>
        <v>0.1111111111111111</v>
      </c>
      <c r="F85" s="206">
        <f>(SUM($D$68:F68)+SUM($D$70:F70)+SUM($D$73:F73)+SUM($D$74:F74))/$C$85</f>
        <v>0.1111111111111111</v>
      </c>
      <c r="G85" s="206">
        <f>(SUM($D$68:G68)+SUM($D$70:G70)+SUM($D$73:G73)+SUM($D$74:G74))/$C$85</f>
        <v>0.15555555555555556</v>
      </c>
      <c r="H85" s="206">
        <f>(SUM($D$68:H68)+SUM($D$70:H70)+SUM($D$73:H73)+SUM($D$74:H74))/$C$85</f>
        <v>0.15555555555555556</v>
      </c>
      <c r="I85" s="206">
        <f>(SUM($D$68:I68)+SUM($D$70:I70)+SUM($D$73:I73)+SUM($D$74:I74))/$C$85</f>
        <v>0.15555555555555556</v>
      </c>
      <c r="J85" s="206">
        <f>(SUM($D$68:J68)+SUM($D$70:J70)+SUM($D$73:J73)+SUM($D$74:J74))/$C$85</f>
        <v>0.24444444444444444</v>
      </c>
      <c r="K85" s="206">
        <f>(SUM($D$68:K68)+SUM($D$70:K70)+SUM($D$73:K73)+SUM($D$74:K74))/$C$85</f>
        <v>0.28888888888888886</v>
      </c>
      <c r="L85" s="206">
        <f>(SUM($D$68:L68)+SUM($D$70:L70)+SUM($D$73:L73)+SUM($D$74:L74))/$C$85</f>
        <v>0.35555555555555557</v>
      </c>
      <c r="M85" s="247"/>
    </row>
    <row r="86" spans="1:13" x14ac:dyDescent="0.25">
      <c r="A86" s="58"/>
      <c r="B86" s="58" t="s">
        <v>472</v>
      </c>
      <c r="C86" s="58">
        <v>238</v>
      </c>
      <c r="D86" s="206">
        <f>SUM(D71+D75)/$C$86</f>
        <v>0</v>
      </c>
      <c r="E86" s="206">
        <f>(SUM($D$71:E71)+SUM($D$75:E75))/$C$86</f>
        <v>0</v>
      </c>
      <c r="F86" s="206">
        <f>(SUM($D$71:F71)+SUM($D$75:F75))/$C$86</f>
        <v>0</v>
      </c>
      <c r="G86" s="206">
        <f>(SUM($D$71:G71)+SUM($D$75:G75))/$C$86</f>
        <v>5.0420168067226892E-2</v>
      </c>
      <c r="H86" s="206">
        <f>(SUM($D$71:H71)+SUM($D$75:H75)-SUM(D79:H79))/$C$86</f>
        <v>5.4621848739495799E-2</v>
      </c>
      <c r="I86" s="206">
        <f>(SUM($D$71:I71)+SUM($D$75:I75)-SUM(D79:I79))/$C$86</f>
        <v>7.5630252100840331E-2</v>
      </c>
      <c r="J86" s="206">
        <f>(SUM($D$71:J71)+SUM($D$75:J75)-SUM(D79:J79))/$C$86</f>
        <v>0.13865546218487396</v>
      </c>
      <c r="K86" s="206">
        <f>(SUM($D$71:K71)+SUM($D$75:K75)-SUM(D79:K79))/$C$86</f>
        <v>0.24579831932773108</v>
      </c>
      <c r="L86" s="206">
        <f>(SUM($D$71:L71)+SUM($D$75:L75)-SUM(D79:L79))/$C$86</f>
        <v>0.35084033613445376</v>
      </c>
      <c r="M86" s="247"/>
    </row>
    <row r="87" spans="1:13" x14ac:dyDescent="0.25">
      <c r="A87" s="58"/>
      <c r="B87" s="58" t="s">
        <v>473</v>
      </c>
      <c r="C87" s="58">
        <v>49</v>
      </c>
      <c r="D87" s="206">
        <f>SUM($D$79:D79)/$C$87</f>
        <v>0</v>
      </c>
      <c r="E87" s="206">
        <f>SUM($D$79:E79)/$C$87</f>
        <v>0</v>
      </c>
      <c r="F87" s="206">
        <f>SUM($D$79:F79)/$C$87</f>
        <v>0</v>
      </c>
      <c r="G87" s="206">
        <f>SUM($D$79:G79)/$C$87</f>
        <v>0</v>
      </c>
      <c r="H87" s="206">
        <f>SUM($D$79:H79)/$C$87</f>
        <v>2.0408163265306121E-2</v>
      </c>
      <c r="I87" s="206">
        <f>SUM($D$79:I79)/$C$87</f>
        <v>4.0816326530612242E-2</v>
      </c>
      <c r="J87" s="206">
        <f>SUM($D$79:J79)/$C$87</f>
        <v>6.1224489795918366E-2</v>
      </c>
      <c r="K87" s="206">
        <f>SUM($D$79:K79)/$C$87</f>
        <v>6.1224489795918366E-2</v>
      </c>
      <c r="L87" s="206">
        <f>SUM($D$79:L79)/$C$87</f>
        <v>0.10204081632653061</v>
      </c>
      <c r="M87" s="247"/>
    </row>
    <row r="88" spans="1:13" x14ac:dyDescent="0.25">
      <c r="A88" s="58"/>
      <c r="B88" s="58" t="s">
        <v>474</v>
      </c>
      <c r="C88" s="58">
        <v>130</v>
      </c>
      <c r="D88" s="206">
        <f>D76/C88</f>
        <v>0</v>
      </c>
      <c r="E88" s="206">
        <f>SUM($D$76:E76)/$C$88</f>
        <v>0</v>
      </c>
      <c r="F88" s="206">
        <f>SUM($D$76:F76)/$C$88</f>
        <v>0</v>
      </c>
      <c r="G88" s="206">
        <f>SUM($D$76:G76)/$C$88</f>
        <v>0</v>
      </c>
      <c r="H88" s="206">
        <f>SUM($D$76:H76)/$C$88</f>
        <v>0</v>
      </c>
      <c r="I88" s="206">
        <f>SUM($D$76:I76)/$C$88</f>
        <v>0</v>
      </c>
      <c r="J88" s="206">
        <f>SUM($D$76:J76)/$C$88</f>
        <v>0</v>
      </c>
      <c r="K88" s="206">
        <f>SUM($D$76:K76)/$C$88</f>
        <v>0</v>
      </c>
      <c r="L88" s="206">
        <f>SUM($D$76:L76)/$C$88</f>
        <v>0</v>
      </c>
      <c r="M88" s="58"/>
    </row>
    <row r="89" spans="1:13" x14ac:dyDescent="0.25">
      <c r="A89" s="204"/>
      <c r="B89" s="205" t="s">
        <v>467</v>
      </c>
      <c r="C89" s="270">
        <v>297</v>
      </c>
      <c r="D89" s="271">
        <f>D78/$C$89</f>
        <v>6.7340067340067337E-3</v>
      </c>
      <c r="E89" s="271">
        <f>SUM(D78+E78)/$C$89</f>
        <v>1.6835016835016835E-2</v>
      </c>
      <c r="F89" s="271">
        <f>SUM(D78:F78)/$C$89</f>
        <v>1.6835016835016835E-2</v>
      </c>
      <c r="G89" s="271">
        <f>SUM($D$78:G78)/$C$89</f>
        <v>6.3973063973063973E-2</v>
      </c>
      <c r="H89" s="271">
        <f>SUM($D$78:H78)/$C$89</f>
        <v>6.7340067340067339E-2</v>
      </c>
      <c r="I89" s="271">
        <f>SUM($D$78:I78)/$C$89</f>
        <v>8.4175084175084181E-2</v>
      </c>
      <c r="J89" s="271">
        <f>SUM($D$78:J78)/$C$89</f>
        <v>0.14814814814814814</v>
      </c>
      <c r="K89" s="271">
        <f>SUM($D$78:K78)/$C$89</f>
        <v>0.24074074074074073</v>
      </c>
      <c r="L89" s="271">
        <f>SUM($D$78:L78)/$C$89</f>
        <v>0.33501683501683499</v>
      </c>
      <c r="M89" s="248"/>
    </row>
    <row r="90" spans="1:13" x14ac:dyDescent="0.25">
      <c r="A90" s="204"/>
      <c r="B90" s="205" t="s">
        <v>468</v>
      </c>
      <c r="C90" s="204">
        <v>165</v>
      </c>
      <c r="D90" s="204">
        <v>0</v>
      </c>
      <c r="E90" s="204">
        <v>0</v>
      </c>
      <c r="F90" s="204">
        <v>0</v>
      </c>
      <c r="G90" s="204">
        <v>0</v>
      </c>
      <c r="H90" s="207">
        <f>H79/C90</f>
        <v>6.0606060606060606E-3</v>
      </c>
      <c r="I90" s="207">
        <f>(H79+I79)/C90</f>
        <v>1.2121212121212121E-2</v>
      </c>
      <c r="J90" s="207">
        <f>SUM($D$79:J79)/$C$90</f>
        <v>1.8181818181818181E-2</v>
      </c>
      <c r="K90" s="207">
        <f>SUM($D$79:K79)/$C$90</f>
        <v>1.8181818181818181E-2</v>
      </c>
      <c r="L90" s="207">
        <f>SUM($D$79:L79)/$C$90</f>
        <v>3.0303030303030304E-2</v>
      </c>
      <c r="M90" s="58"/>
    </row>
  </sheetData>
  <pageMargins left="0.7" right="0.7" top="0.75" bottom="0.75" header="0.3" footer="0.3"/>
  <ignoredErrors>
    <ignoredError sqref="E85:J85 E87:J90 E86:F8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3"/>
  <sheetViews>
    <sheetView workbookViewId="0">
      <pane ySplit="2" topLeftCell="A72" activePane="bottomLeft" state="frozen"/>
      <selection pane="bottomLeft" activeCell="J89" sqref="J89"/>
    </sheetView>
  </sheetViews>
  <sheetFormatPr defaultRowHeight="15" x14ac:dyDescent="0.25"/>
  <cols>
    <col min="1" max="1" width="3.140625" customWidth="1"/>
    <col min="2" max="2" width="28" customWidth="1"/>
    <col min="3" max="3" width="7.42578125" style="2" customWidth="1"/>
    <col min="4" max="4" width="12.42578125" customWidth="1"/>
    <col min="5" max="5" width="12.28515625" customWidth="1"/>
    <col min="6" max="6" width="12.140625" customWidth="1"/>
    <col min="7" max="7" width="10.42578125" customWidth="1"/>
    <col min="8" max="8" width="12.140625" style="2" customWidth="1"/>
    <col min="9" max="9" width="11.7109375" customWidth="1"/>
    <col min="11" max="11" width="3.140625" customWidth="1"/>
  </cols>
  <sheetData>
    <row r="1" spans="1:11" s="2" customFormat="1" x14ac:dyDescent="0.25">
      <c r="B1" s="124" t="s">
        <v>386</v>
      </c>
      <c r="C1" s="124"/>
    </row>
    <row r="2" spans="1:11" ht="74.25" customHeight="1" x14ac:dyDescent="0.25">
      <c r="A2" s="295"/>
      <c r="B2" s="295" t="s">
        <v>1</v>
      </c>
      <c r="C2" s="296" t="s">
        <v>1101</v>
      </c>
      <c r="D2" s="296" t="s">
        <v>251</v>
      </c>
      <c r="E2" s="296" t="s">
        <v>252</v>
      </c>
      <c r="F2" s="296" t="s">
        <v>253</v>
      </c>
      <c r="G2" s="296" t="s">
        <v>254</v>
      </c>
      <c r="H2" s="296" t="s">
        <v>383</v>
      </c>
      <c r="I2" s="296" t="s">
        <v>255</v>
      </c>
      <c r="J2" s="296" t="s">
        <v>252</v>
      </c>
    </row>
    <row r="3" spans="1:11" x14ac:dyDescent="0.25">
      <c r="A3" s="127">
        <v>1</v>
      </c>
      <c r="B3" s="58" t="s">
        <v>250</v>
      </c>
      <c r="C3" s="252">
        <v>36.450000000000003</v>
      </c>
      <c r="D3" s="58">
        <v>5262.95</v>
      </c>
      <c r="E3" s="58">
        <v>2126.86</v>
      </c>
      <c r="F3" s="58">
        <f>D3-E3</f>
        <v>3136.0899999999997</v>
      </c>
      <c r="G3" s="293">
        <v>18.420000000000002</v>
      </c>
      <c r="H3" s="120">
        <v>42248</v>
      </c>
      <c r="I3" s="120">
        <v>49272</v>
      </c>
      <c r="J3" s="337">
        <f t="shared" ref="J3:J15" si="0">E3/D3</f>
        <v>0.40411936271482729</v>
      </c>
    </row>
    <row r="4" spans="1:11" x14ac:dyDescent="0.25">
      <c r="A4" s="127">
        <v>2</v>
      </c>
      <c r="B4" s="58" t="s">
        <v>385</v>
      </c>
      <c r="C4" s="252">
        <v>50.05</v>
      </c>
      <c r="D4" s="58">
        <v>9965.34</v>
      </c>
      <c r="E4" s="58">
        <v>4366.05</v>
      </c>
      <c r="F4" s="58">
        <f>D4-E4</f>
        <v>5599.29</v>
      </c>
      <c r="G4" s="294">
        <v>33.090000000000003</v>
      </c>
      <c r="H4" s="120">
        <v>42282</v>
      </c>
      <c r="I4" s="120">
        <v>49181</v>
      </c>
      <c r="J4" s="337">
        <f t="shared" si="0"/>
        <v>0.43812353617638738</v>
      </c>
    </row>
    <row r="5" spans="1:11" s="2" customFormat="1" x14ac:dyDescent="0.25">
      <c r="A5" s="127">
        <v>3</v>
      </c>
      <c r="B5" s="58" t="s">
        <v>312</v>
      </c>
      <c r="C5" s="252">
        <v>28.06</v>
      </c>
      <c r="D5" s="58">
        <v>5967.15</v>
      </c>
      <c r="E5" s="58">
        <v>2589.08</v>
      </c>
      <c r="F5" s="58">
        <f>D5-E5</f>
        <v>3378.0699999999997</v>
      </c>
      <c r="G5" s="294">
        <v>20.39</v>
      </c>
      <c r="H5" s="120">
        <v>42348</v>
      </c>
      <c r="I5" s="120">
        <v>49273</v>
      </c>
      <c r="J5" s="337">
        <f t="shared" si="0"/>
        <v>0.43388887492353972</v>
      </c>
    </row>
    <row r="6" spans="1:11" s="2" customFormat="1" x14ac:dyDescent="0.25">
      <c r="A6" s="127">
        <v>4</v>
      </c>
      <c r="B6" s="58" t="s">
        <v>313</v>
      </c>
      <c r="C6" s="252">
        <v>36.79</v>
      </c>
      <c r="D6" s="58">
        <v>5786.65</v>
      </c>
      <c r="E6" s="58">
        <v>2579.79</v>
      </c>
      <c r="F6" s="58">
        <f>D6-E6</f>
        <v>3206.8599999999997</v>
      </c>
      <c r="G6" s="294">
        <v>19.34</v>
      </c>
      <c r="H6" s="120">
        <v>42348</v>
      </c>
      <c r="I6" s="120">
        <v>49273</v>
      </c>
      <c r="J6" s="337">
        <f t="shared" si="0"/>
        <v>0.44581752827629112</v>
      </c>
    </row>
    <row r="7" spans="1:11" s="2" customFormat="1" x14ac:dyDescent="0.25">
      <c r="A7" s="127">
        <v>5</v>
      </c>
      <c r="B7" s="58" t="s">
        <v>314</v>
      </c>
      <c r="C7" s="252">
        <v>28.04</v>
      </c>
      <c r="D7" s="58">
        <v>4689.97</v>
      </c>
      <c r="E7" s="58">
        <v>2078.06</v>
      </c>
      <c r="F7" s="61">
        <f>D7-E7-0.01</f>
        <v>2611.9</v>
      </c>
      <c r="G7" s="294">
        <v>15.76</v>
      </c>
      <c r="H7" s="120">
        <v>42348</v>
      </c>
      <c r="I7" s="120">
        <v>49273</v>
      </c>
      <c r="J7" s="337">
        <f t="shared" si="0"/>
        <v>0.44308598988906112</v>
      </c>
    </row>
    <row r="8" spans="1:11" x14ac:dyDescent="0.25">
      <c r="A8" s="127">
        <v>6</v>
      </c>
      <c r="B8" s="58" t="s">
        <v>315</v>
      </c>
      <c r="C8" s="252">
        <v>37.450000000000003</v>
      </c>
      <c r="D8" s="58">
        <v>4732.13</v>
      </c>
      <c r="E8" s="58">
        <v>2162.7399999999998</v>
      </c>
      <c r="F8" s="58">
        <f t="shared" ref="F8:F89" si="1">D8-E8</f>
        <v>2569.3900000000003</v>
      </c>
      <c r="G8" s="293">
        <v>15.49</v>
      </c>
      <c r="H8" s="120">
        <v>42348</v>
      </c>
      <c r="I8" s="120">
        <v>49273</v>
      </c>
      <c r="J8" s="337">
        <f t="shared" si="0"/>
        <v>0.4570330908068882</v>
      </c>
    </row>
    <row r="9" spans="1:11" x14ac:dyDescent="0.25">
      <c r="A9" s="127">
        <v>7</v>
      </c>
      <c r="B9" s="58" t="s">
        <v>1037</v>
      </c>
      <c r="C9" s="252">
        <v>37.08</v>
      </c>
      <c r="D9" s="58">
        <v>4685.38</v>
      </c>
      <c r="E9" s="58">
        <v>2141.37</v>
      </c>
      <c r="F9" s="58">
        <f t="shared" si="1"/>
        <v>2544.0100000000002</v>
      </c>
      <c r="G9" s="293">
        <v>15.34</v>
      </c>
      <c r="H9" s="120">
        <v>42348</v>
      </c>
      <c r="I9" s="120">
        <v>49273</v>
      </c>
      <c r="J9" s="337">
        <f t="shared" si="0"/>
        <v>0.45703230047509485</v>
      </c>
    </row>
    <row r="10" spans="1:11" x14ac:dyDescent="0.25">
      <c r="A10" s="127">
        <v>8</v>
      </c>
      <c r="B10" s="58" t="s">
        <v>317</v>
      </c>
      <c r="C10" s="252">
        <v>36.97</v>
      </c>
      <c r="D10" s="58">
        <v>4990.5200000000004</v>
      </c>
      <c r="E10" s="58">
        <v>2262.64</v>
      </c>
      <c r="F10" s="58">
        <f t="shared" si="1"/>
        <v>2727.8800000000006</v>
      </c>
      <c r="G10" s="293">
        <v>16.45</v>
      </c>
      <c r="H10" s="120">
        <v>42348</v>
      </c>
      <c r="I10" s="120">
        <v>49273</v>
      </c>
      <c r="J10" s="337">
        <f t="shared" si="0"/>
        <v>0.45338762293308105</v>
      </c>
    </row>
    <row r="11" spans="1:11" x14ac:dyDescent="0.25">
      <c r="A11" s="127">
        <v>9</v>
      </c>
      <c r="B11" s="58" t="s">
        <v>257</v>
      </c>
      <c r="C11" s="249">
        <v>31.82</v>
      </c>
      <c r="D11" s="58">
        <v>4488.62</v>
      </c>
      <c r="E11" s="58">
        <v>2001.17</v>
      </c>
      <c r="F11" s="58">
        <f t="shared" si="1"/>
        <v>2487.4499999999998</v>
      </c>
      <c r="G11" s="293">
        <v>14.77</v>
      </c>
      <c r="H11" s="120">
        <v>42354</v>
      </c>
      <c r="I11" s="120">
        <v>49273</v>
      </c>
      <c r="J11" s="337">
        <f t="shared" si="0"/>
        <v>0.4458319037922569</v>
      </c>
    </row>
    <row r="12" spans="1:11" x14ac:dyDescent="0.25">
      <c r="A12" s="127">
        <v>10</v>
      </c>
      <c r="B12" s="58" t="s">
        <v>258</v>
      </c>
      <c r="C12" s="252">
        <v>50.35</v>
      </c>
      <c r="D12" s="58">
        <v>6992.98</v>
      </c>
      <c r="E12" s="58">
        <v>3122.72</v>
      </c>
      <c r="F12" s="58">
        <f t="shared" si="1"/>
        <v>3870.2599999999998</v>
      </c>
      <c r="G12" s="293">
        <v>22.97</v>
      </c>
      <c r="H12" s="120">
        <v>42354</v>
      </c>
      <c r="I12" s="120">
        <v>49273</v>
      </c>
      <c r="J12" s="337">
        <f t="shared" si="0"/>
        <v>0.44655068368563905</v>
      </c>
    </row>
    <row r="13" spans="1:11" x14ac:dyDescent="0.25">
      <c r="A13" s="127">
        <v>11</v>
      </c>
      <c r="B13" s="58" t="s">
        <v>259</v>
      </c>
      <c r="C13" s="252">
        <v>32.67</v>
      </c>
      <c r="D13" s="85">
        <v>4150.95</v>
      </c>
      <c r="E13" s="149">
        <v>1871.6</v>
      </c>
      <c r="F13" s="58">
        <f t="shared" si="1"/>
        <v>2279.35</v>
      </c>
      <c r="G13" s="293">
        <v>13.54</v>
      </c>
      <c r="H13" s="120">
        <v>42354</v>
      </c>
      <c r="I13" s="120">
        <v>49273</v>
      </c>
      <c r="J13" s="337">
        <f t="shared" si="0"/>
        <v>0.45088473722882716</v>
      </c>
    </row>
    <row r="14" spans="1:11" x14ac:dyDescent="0.25">
      <c r="A14" s="127">
        <v>12</v>
      </c>
      <c r="B14" s="58" t="s">
        <v>260</v>
      </c>
      <c r="C14" s="252">
        <v>35.81</v>
      </c>
      <c r="D14" s="58">
        <v>5436.32</v>
      </c>
      <c r="E14" s="58">
        <v>2406.0500000000002</v>
      </c>
      <c r="F14" s="58">
        <f t="shared" si="1"/>
        <v>3030.2699999999995</v>
      </c>
      <c r="G14" s="293">
        <v>17.989999999999998</v>
      </c>
      <c r="H14" s="120">
        <v>42354</v>
      </c>
      <c r="I14" s="120">
        <v>49273</v>
      </c>
      <c r="J14" s="337">
        <f t="shared" si="0"/>
        <v>0.44258800070636023</v>
      </c>
    </row>
    <row r="15" spans="1:11" x14ac:dyDescent="0.25">
      <c r="A15" s="127">
        <v>13</v>
      </c>
      <c r="B15" s="58" t="s">
        <v>261</v>
      </c>
      <c r="C15" s="252">
        <v>31.8</v>
      </c>
      <c r="D15" s="58">
        <v>4040.41</v>
      </c>
      <c r="E15" s="58">
        <v>1821.76</v>
      </c>
      <c r="F15" s="58">
        <f t="shared" si="1"/>
        <v>2218.6499999999996</v>
      </c>
      <c r="G15" s="293">
        <v>13.18</v>
      </c>
      <c r="H15" s="120">
        <v>42354</v>
      </c>
      <c r="I15" s="120">
        <v>49273</v>
      </c>
      <c r="J15" s="337">
        <f t="shared" si="0"/>
        <v>0.45088493494472098</v>
      </c>
    </row>
    <row r="16" spans="1:11" x14ac:dyDescent="0.25">
      <c r="A16" s="127">
        <v>14</v>
      </c>
      <c r="B16" s="85" t="s">
        <v>1059</v>
      </c>
      <c r="C16" s="252">
        <v>49.55</v>
      </c>
      <c r="D16" s="85">
        <v>6816.48</v>
      </c>
      <c r="E16" s="85">
        <v>2726.58</v>
      </c>
      <c r="F16" s="149">
        <f t="shared" si="1"/>
        <v>4089.8999999999996</v>
      </c>
      <c r="G16" s="293">
        <v>24.43</v>
      </c>
      <c r="H16" s="311">
        <v>42380</v>
      </c>
      <c r="I16" s="120">
        <v>49181</v>
      </c>
      <c r="J16" s="337">
        <f>E16/D16</f>
        <v>0.39999823956059433</v>
      </c>
      <c r="K16" s="324"/>
    </row>
    <row r="17" spans="1:11" x14ac:dyDescent="0.25">
      <c r="A17" s="127">
        <v>15</v>
      </c>
      <c r="B17" s="85" t="s">
        <v>271</v>
      </c>
      <c r="C17" s="252">
        <v>73.55</v>
      </c>
      <c r="D17" s="58">
        <v>14210.27</v>
      </c>
      <c r="E17" s="61">
        <v>6314.3</v>
      </c>
      <c r="F17" s="58">
        <f t="shared" si="1"/>
        <v>7895.97</v>
      </c>
      <c r="G17" s="293">
        <v>46.46</v>
      </c>
      <c r="H17" s="120">
        <v>42482</v>
      </c>
      <c r="I17" s="120">
        <v>49393</v>
      </c>
      <c r="J17" s="337">
        <f t="shared" ref="J17:J53" si="2">E17/D17</f>
        <v>0.44434764434454799</v>
      </c>
    </row>
    <row r="18" spans="1:11" x14ac:dyDescent="0.25">
      <c r="A18" s="127">
        <v>16</v>
      </c>
      <c r="B18" s="85" t="s">
        <v>272</v>
      </c>
      <c r="C18" s="252">
        <v>48.09</v>
      </c>
      <c r="D18" s="58">
        <v>8709.4699999999993</v>
      </c>
      <c r="E18" s="58">
        <v>3895.83</v>
      </c>
      <c r="F18" s="58">
        <f t="shared" si="1"/>
        <v>4813.6399999999994</v>
      </c>
      <c r="G18" s="293">
        <v>28.32</v>
      </c>
      <c r="H18" s="120">
        <v>42482</v>
      </c>
      <c r="I18" s="120">
        <v>49393</v>
      </c>
      <c r="J18" s="337">
        <f t="shared" si="2"/>
        <v>0.44730965259654148</v>
      </c>
    </row>
    <row r="19" spans="1:11" x14ac:dyDescent="0.25">
      <c r="A19" s="127">
        <v>17</v>
      </c>
      <c r="B19" s="85" t="s">
        <v>273</v>
      </c>
      <c r="C19" s="252">
        <v>33.46</v>
      </c>
      <c r="D19" s="61">
        <v>6385.2</v>
      </c>
      <c r="E19" s="58">
        <v>2840.77</v>
      </c>
      <c r="F19" s="58">
        <f t="shared" si="1"/>
        <v>3544.43</v>
      </c>
      <c r="G19" s="293">
        <v>20.86</v>
      </c>
      <c r="H19" s="120">
        <v>42482</v>
      </c>
      <c r="I19" s="120">
        <v>49393</v>
      </c>
      <c r="J19" s="337">
        <f t="shared" si="2"/>
        <v>0.44489914176533235</v>
      </c>
      <c r="K19" s="324"/>
    </row>
    <row r="20" spans="1:11" x14ac:dyDescent="0.25">
      <c r="A20" s="127">
        <v>18</v>
      </c>
      <c r="B20" s="85" t="s">
        <v>274</v>
      </c>
      <c r="C20" s="252">
        <v>49.51</v>
      </c>
      <c r="D20" s="58">
        <v>9114.91</v>
      </c>
      <c r="E20" s="58">
        <v>4070.17</v>
      </c>
      <c r="F20" s="58">
        <f t="shared" si="1"/>
        <v>5044.74</v>
      </c>
      <c r="G20" s="293">
        <v>29.68</v>
      </c>
      <c r="H20" s="120">
        <v>42482</v>
      </c>
      <c r="I20" s="120">
        <v>49393</v>
      </c>
      <c r="J20" s="337">
        <f t="shared" si="2"/>
        <v>0.44653979029962998</v>
      </c>
    </row>
    <row r="21" spans="1:11" x14ac:dyDescent="0.25">
      <c r="A21" s="127">
        <v>19</v>
      </c>
      <c r="B21" s="85" t="s">
        <v>275</v>
      </c>
      <c r="C21" s="252">
        <v>73.260000000000005</v>
      </c>
      <c r="D21" s="58">
        <v>15616.92</v>
      </c>
      <c r="E21" s="58">
        <v>6874.46</v>
      </c>
      <c r="F21" s="58">
        <f t="shared" si="1"/>
        <v>8742.4599999999991</v>
      </c>
      <c r="G21" s="293">
        <v>51.45</v>
      </c>
      <c r="H21" s="120">
        <v>42482</v>
      </c>
      <c r="I21" s="120">
        <v>49393</v>
      </c>
      <c r="J21" s="337">
        <f>E21/D21</f>
        <v>0.44019307264172447</v>
      </c>
    </row>
    <row r="22" spans="1:11" x14ac:dyDescent="0.25">
      <c r="A22" s="127">
        <v>20</v>
      </c>
      <c r="B22" s="85" t="s">
        <v>276</v>
      </c>
      <c r="C22" s="252">
        <v>48.25</v>
      </c>
      <c r="D22" s="61">
        <v>8736.7000000000007</v>
      </c>
      <c r="E22" s="61">
        <v>3908.1</v>
      </c>
      <c r="F22" s="61">
        <f t="shared" si="1"/>
        <v>4828.6000000000004</v>
      </c>
      <c r="G22" s="293">
        <v>28.41</v>
      </c>
      <c r="H22" s="120">
        <v>42482</v>
      </c>
      <c r="I22" s="120">
        <v>49393</v>
      </c>
      <c r="J22" s="337">
        <f t="shared" si="2"/>
        <v>0.44731992628795764</v>
      </c>
    </row>
    <row r="23" spans="1:11" x14ac:dyDescent="0.25">
      <c r="A23" s="127">
        <v>21</v>
      </c>
      <c r="B23" s="85" t="s">
        <v>277</v>
      </c>
      <c r="C23" s="252">
        <v>33.6</v>
      </c>
      <c r="D23" s="61">
        <v>6572.8</v>
      </c>
      <c r="E23" s="61">
        <v>2917</v>
      </c>
      <c r="F23" s="61">
        <f t="shared" si="1"/>
        <v>3655.8</v>
      </c>
      <c r="G23" s="293">
        <v>21.52</v>
      </c>
      <c r="H23" s="120">
        <v>42482</v>
      </c>
      <c r="I23" s="120">
        <v>49393</v>
      </c>
      <c r="J23" s="337">
        <f t="shared" si="2"/>
        <v>0.44379868549172347</v>
      </c>
    </row>
    <row r="24" spans="1:11" x14ac:dyDescent="0.25">
      <c r="A24" s="127">
        <v>22</v>
      </c>
      <c r="B24" s="85" t="s">
        <v>278</v>
      </c>
      <c r="C24" s="252">
        <v>60.09</v>
      </c>
      <c r="D24" s="58">
        <v>10926.8</v>
      </c>
      <c r="E24" s="58">
        <v>4885.57</v>
      </c>
      <c r="F24" s="58">
        <f t="shared" si="1"/>
        <v>6041.23</v>
      </c>
      <c r="G24" s="293">
        <v>35.340000000000003</v>
      </c>
      <c r="H24" s="120">
        <v>42482</v>
      </c>
      <c r="I24" s="120">
        <v>49393</v>
      </c>
      <c r="J24" s="337">
        <f t="shared" si="2"/>
        <v>0.44711809495918292</v>
      </c>
    </row>
    <row r="25" spans="1:11" x14ac:dyDescent="0.25">
      <c r="A25" s="127">
        <v>23</v>
      </c>
      <c r="B25" s="85" t="s">
        <v>279</v>
      </c>
      <c r="C25" s="252">
        <v>73.16</v>
      </c>
      <c r="D25" s="58">
        <v>14450.62</v>
      </c>
      <c r="E25" s="58">
        <v>6407.08</v>
      </c>
      <c r="F25" s="58">
        <f t="shared" si="1"/>
        <v>8043.5400000000009</v>
      </c>
      <c r="G25" s="293">
        <v>47.34</v>
      </c>
      <c r="H25" s="120">
        <v>42482</v>
      </c>
      <c r="I25" s="120">
        <v>49393</v>
      </c>
      <c r="J25" s="337">
        <f t="shared" si="2"/>
        <v>0.44337751598201319</v>
      </c>
    </row>
    <row r="26" spans="1:11" x14ac:dyDescent="0.25">
      <c r="A26" s="127">
        <v>24</v>
      </c>
      <c r="B26" s="85" t="s">
        <v>280</v>
      </c>
      <c r="C26" s="252">
        <v>48.41</v>
      </c>
      <c r="D26" s="58">
        <v>9636.85</v>
      </c>
      <c r="E26" s="58">
        <v>4269.5200000000004</v>
      </c>
      <c r="F26" s="58">
        <f t="shared" si="1"/>
        <v>5367.33</v>
      </c>
      <c r="G26" s="293">
        <v>31.59</v>
      </c>
      <c r="H26" s="120">
        <v>42482</v>
      </c>
      <c r="I26" s="120">
        <v>49393</v>
      </c>
      <c r="J26" s="337">
        <f t="shared" si="2"/>
        <v>0.44304103519303512</v>
      </c>
    </row>
    <row r="27" spans="1:11" x14ac:dyDescent="0.25">
      <c r="A27" s="127">
        <v>25</v>
      </c>
      <c r="B27" s="85" t="s">
        <v>281</v>
      </c>
      <c r="C27" s="252">
        <v>32.1</v>
      </c>
      <c r="D27" s="58">
        <v>6153.72</v>
      </c>
      <c r="E27" s="58">
        <v>2736.51</v>
      </c>
      <c r="F27" s="58">
        <f t="shared" si="1"/>
        <v>3417.21</v>
      </c>
      <c r="G27" s="293">
        <v>20.11</v>
      </c>
      <c r="H27" s="120">
        <v>42482</v>
      </c>
      <c r="I27" s="120">
        <v>49393</v>
      </c>
      <c r="J27" s="337">
        <f t="shared" si="2"/>
        <v>0.44469199118581931</v>
      </c>
    </row>
    <row r="28" spans="1:11" x14ac:dyDescent="0.25">
      <c r="A28" s="127">
        <v>26</v>
      </c>
      <c r="B28" s="85" t="s">
        <v>282</v>
      </c>
      <c r="C28" s="252">
        <v>59.72</v>
      </c>
      <c r="D28" s="58">
        <v>11593.55</v>
      </c>
      <c r="E28" s="58">
        <v>5149.1099999999997</v>
      </c>
      <c r="F28" s="58">
        <f t="shared" si="1"/>
        <v>6444.44</v>
      </c>
      <c r="G28" s="293">
        <v>37.93</v>
      </c>
      <c r="H28" s="120">
        <v>42482</v>
      </c>
      <c r="I28" s="120">
        <v>49393</v>
      </c>
      <c r="J28" s="337">
        <f t="shared" si="2"/>
        <v>0.44413574789430332</v>
      </c>
    </row>
    <row r="29" spans="1:11" x14ac:dyDescent="0.25">
      <c r="A29" s="127">
        <v>27</v>
      </c>
      <c r="B29" s="85" t="s">
        <v>283</v>
      </c>
      <c r="C29" s="252">
        <v>73.959999999999994</v>
      </c>
      <c r="D29" s="58">
        <v>15408.48</v>
      </c>
      <c r="E29" s="58">
        <v>6797.08</v>
      </c>
      <c r="F29" s="61">
        <f t="shared" si="1"/>
        <v>8611.4</v>
      </c>
      <c r="G29" s="293">
        <v>50.69</v>
      </c>
      <c r="H29" s="120">
        <v>42482</v>
      </c>
      <c r="I29" s="120">
        <v>49393</v>
      </c>
      <c r="J29" s="337">
        <f t="shared" si="2"/>
        <v>0.44112592546441959</v>
      </c>
    </row>
    <row r="30" spans="1:11" x14ac:dyDescent="0.25">
      <c r="A30" s="127">
        <v>28</v>
      </c>
      <c r="B30" s="85" t="s">
        <v>284</v>
      </c>
      <c r="C30" s="252">
        <v>48.22</v>
      </c>
      <c r="D30" s="58">
        <v>9029.8700000000008</v>
      </c>
      <c r="E30" s="58">
        <v>4025.11</v>
      </c>
      <c r="F30" s="58">
        <f t="shared" si="1"/>
        <v>5004.76</v>
      </c>
      <c r="G30" s="293">
        <v>29.45</v>
      </c>
      <c r="H30" s="120">
        <v>42482</v>
      </c>
      <c r="I30" s="120">
        <v>49393</v>
      </c>
      <c r="J30" s="337">
        <f t="shared" si="2"/>
        <v>0.44575503301819402</v>
      </c>
    </row>
    <row r="31" spans="1:11" x14ac:dyDescent="0.25">
      <c r="A31" s="127">
        <v>29</v>
      </c>
      <c r="B31" s="85" t="s">
        <v>285</v>
      </c>
      <c r="C31" s="252">
        <v>33.86</v>
      </c>
      <c r="D31" s="58">
        <v>6864.11</v>
      </c>
      <c r="E31" s="58">
        <v>3035.75</v>
      </c>
      <c r="F31" s="58">
        <f t="shared" si="1"/>
        <v>3828.3599999999997</v>
      </c>
      <c r="G31" s="293">
        <v>22.54</v>
      </c>
      <c r="H31" s="120">
        <v>42482</v>
      </c>
      <c r="I31" s="120">
        <v>49393</v>
      </c>
      <c r="J31" s="337">
        <f t="shared" si="2"/>
        <v>0.44226418282923791</v>
      </c>
    </row>
    <row r="32" spans="1:11" x14ac:dyDescent="0.25">
      <c r="A32" s="127">
        <v>30</v>
      </c>
      <c r="B32" s="85" t="s">
        <v>286</v>
      </c>
      <c r="C32" s="252">
        <v>59.69</v>
      </c>
      <c r="D32" s="58">
        <v>11177.57</v>
      </c>
      <c r="E32" s="58">
        <v>4982.4399999999996</v>
      </c>
      <c r="F32" s="58">
        <f t="shared" si="1"/>
        <v>6195.13</v>
      </c>
      <c r="G32" s="293">
        <v>36.46</v>
      </c>
      <c r="H32" s="120">
        <v>42482</v>
      </c>
      <c r="I32" s="120">
        <v>49393</v>
      </c>
      <c r="J32" s="337">
        <f t="shared" si="2"/>
        <v>0.44575341509827265</v>
      </c>
    </row>
    <row r="33" spans="1:10" x14ac:dyDescent="0.25">
      <c r="A33" s="127">
        <v>31</v>
      </c>
      <c r="B33" s="85" t="s">
        <v>287</v>
      </c>
      <c r="C33" s="252">
        <v>73.099999999999994</v>
      </c>
      <c r="D33" s="58">
        <v>16164.32</v>
      </c>
      <c r="E33" s="58">
        <v>7092.05</v>
      </c>
      <c r="F33" s="58">
        <f t="shared" si="1"/>
        <v>9072.27</v>
      </c>
      <c r="G33" s="294">
        <v>53.4</v>
      </c>
      <c r="H33" s="120">
        <v>42482</v>
      </c>
      <c r="I33" s="120">
        <v>49393</v>
      </c>
      <c r="J33" s="337">
        <f t="shared" si="2"/>
        <v>0.43874719134488804</v>
      </c>
    </row>
    <row r="34" spans="1:10" x14ac:dyDescent="0.25">
      <c r="A34" s="127">
        <v>32</v>
      </c>
      <c r="B34" s="85" t="s">
        <v>288</v>
      </c>
      <c r="C34" s="252">
        <v>48.08</v>
      </c>
      <c r="D34" s="58">
        <v>10053.14</v>
      </c>
      <c r="E34" s="58">
        <v>4433.22</v>
      </c>
      <c r="F34" s="58">
        <f t="shared" si="1"/>
        <v>5619.9199999999992</v>
      </c>
      <c r="G34" s="293">
        <v>33.08</v>
      </c>
      <c r="H34" s="120">
        <v>42482</v>
      </c>
      <c r="I34" s="120">
        <v>49393</v>
      </c>
      <c r="J34" s="337">
        <f t="shared" si="2"/>
        <v>0.44097863950964578</v>
      </c>
    </row>
    <row r="35" spans="1:10" x14ac:dyDescent="0.25">
      <c r="A35" s="127">
        <v>33</v>
      </c>
      <c r="B35" s="85" t="s">
        <v>289</v>
      </c>
      <c r="C35" s="252">
        <v>33.78</v>
      </c>
      <c r="D35" s="58">
        <v>6850.49</v>
      </c>
      <c r="E35" s="58">
        <v>3029.62</v>
      </c>
      <c r="F35" s="58">
        <f t="shared" si="1"/>
        <v>3820.87</v>
      </c>
      <c r="G35" s="293">
        <v>22.49</v>
      </c>
      <c r="H35" s="120">
        <v>42482</v>
      </c>
      <c r="I35" s="120">
        <v>49393</v>
      </c>
      <c r="J35" s="337">
        <f t="shared" si="2"/>
        <v>0.44224865666543561</v>
      </c>
    </row>
    <row r="36" spans="1:10" x14ac:dyDescent="0.25">
      <c r="A36" s="127">
        <v>34</v>
      </c>
      <c r="B36" s="85" t="s">
        <v>290</v>
      </c>
      <c r="C36" s="252">
        <v>59.86</v>
      </c>
      <c r="D36" s="58">
        <v>10887.64</v>
      </c>
      <c r="E36" s="58">
        <v>4867.9399999999996</v>
      </c>
      <c r="F36" s="61">
        <f t="shared" si="1"/>
        <v>6019.7</v>
      </c>
      <c r="G36" s="293">
        <v>35.42</v>
      </c>
      <c r="H36" s="120">
        <v>42482</v>
      </c>
      <c r="I36" s="120">
        <v>49393</v>
      </c>
      <c r="J36" s="337">
        <f t="shared" si="2"/>
        <v>0.44710699472061899</v>
      </c>
    </row>
    <row r="37" spans="1:10" x14ac:dyDescent="0.25">
      <c r="A37" s="127">
        <v>35</v>
      </c>
      <c r="B37" s="85" t="s">
        <v>291</v>
      </c>
      <c r="C37" s="252">
        <v>73.180000000000007</v>
      </c>
      <c r="D37" s="58">
        <v>15275.74</v>
      </c>
      <c r="E37" s="58">
        <v>6737.32</v>
      </c>
      <c r="F37" s="58">
        <f t="shared" si="1"/>
        <v>8538.42</v>
      </c>
      <c r="G37" s="293">
        <v>50.26</v>
      </c>
      <c r="H37" s="120">
        <v>42482</v>
      </c>
      <c r="I37" s="120">
        <v>49393</v>
      </c>
      <c r="J37" s="337">
        <f t="shared" si="2"/>
        <v>0.44104704583869586</v>
      </c>
    </row>
    <row r="38" spans="1:10" x14ac:dyDescent="0.25">
      <c r="A38" s="127">
        <v>36</v>
      </c>
      <c r="B38" s="85" t="s">
        <v>292</v>
      </c>
      <c r="C38" s="252">
        <v>47.9</v>
      </c>
      <c r="D38" s="58">
        <v>9386.26</v>
      </c>
      <c r="E38" s="58">
        <v>4164.91</v>
      </c>
      <c r="F38" s="58">
        <f t="shared" si="1"/>
        <v>5221.3500000000004</v>
      </c>
      <c r="G38" s="293">
        <v>30.73</v>
      </c>
      <c r="H38" s="120">
        <v>42482</v>
      </c>
      <c r="I38" s="120">
        <v>49393</v>
      </c>
      <c r="J38" s="337">
        <f t="shared" si="2"/>
        <v>0.44372412441163994</v>
      </c>
    </row>
    <row r="39" spans="1:10" x14ac:dyDescent="0.25">
      <c r="A39" s="127">
        <v>37</v>
      </c>
      <c r="B39" s="85" t="s">
        <v>356</v>
      </c>
      <c r="C39" s="252">
        <v>48.87</v>
      </c>
      <c r="D39" s="58">
        <v>9136.08</v>
      </c>
      <c r="E39" s="58">
        <v>3928.76</v>
      </c>
      <c r="F39" s="58">
        <f t="shared" si="1"/>
        <v>5207.32</v>
      </c>
      <c r="G39" s="294">
        <v>32</v>
      </c>
      <c r="H39" s="120">
        <v>42513</v>
      </c>
      <c r="I39" s="120">
        <v>49546</v>
      </c>
      <c r="J39" s="337">
        <f t="shared" si="2"/>
        <v>0.43002688242659876</v>
      </c>
    </row>
    <row r="40" spans="1:10" x14ac:dyDescent="0.25">
      <c r="A40" s="127">
        <v>38</v>
      </c>
      <c r="B40" s="85" t="s">
        <v>1093</v>
      </c>
      <c r="C40" s="256">
        <v>58.89</v>
      </c>
      <c r="D40" s="58">
        <v>10020.790000000001</v>
      </c>
      <c r="E40" s="58">
        <v>4286.01</v>
      </c>
      <c r="F40" s="58">
        <f t="shared" si="1"/>
        <v>5734.7800000000007</v>
      </c>
      <c r="G40" s="293">
        <v>35.32</v>
      </c>
      <c r="H40" s="120">
        <v>42544</v>
      </c>
      <c r="I40" s="120">
        <v>49242</v>
      </c>
      <c r="J40" s="337">
        <f t="shared" si="2"/>
        <v>0.42771178719442277</v>
      </c>
    </row>
    <row r="41" spans="1:10" x14ac:dyDescent="0.25">
      <c r="A41" s="127">
        <v>39</v>
      </c>
      <c r="B41" s="85" t="s">
        <v>337</v>
      </c>
      <c r="C41" s="252">
        <v>27.63</v>
      </c>
      <c r="D41" s="58">
        <v>4538.99</v>
      </c>
      <c r="E41" s="58">
        <v>1945.89</v>
      </c>
      <c r="F41" s="61">
        <f t="shared" si="1"/>
        <v>2593.0999999999995</v>
      </c>
      <c r="G41" s="293">
        <v>15.98</v>
      </c>
      <c r="H41" s="120">
        <v>42544</v>
      </c>
      <c r="I41" s="120">
        <v>49242</v>
      </c>
      <c r="J41" s="337">
        <f t="shared" si="2"/>
        <v>0.42870550496916721</v>
      </c>
    </row>
    <row r="42" spans="1:10" x14ac:dyDescent="0.25">
      <c r="A42" s="127">
        <v>40</v>
      </c>
      <c r="B42" s="85" t="s">
        <v>338</v>
      </c>
      <c r="C42" s="252">
        <v>27.71</v>
      </c>
      <c r="D42" s="58">
        <v>4849.78</v>
      </c>
      <c r="E42" s="58">
        <v>2070.58</v>
      </c>
      <c r="F42" s="61">
        <f t="shared" si="1"/>
        <v>2779.2</v>
      </c>
      <c r="G42" s="293">
        <v>17.13</v>
      </c>
      <c r="H42" s="120">
        <v>42544</v>
      </c>
      <c r="I42" s="120">
        <v>49242</v>
      </c>
      <c r="J42" s="337">
        <f t="shared" si="2"/>
        <v>0.42694307783033458</v>
      </c>
    </row>
    <row r="43" spans="1:10" x14ac:dyDescent="0.25">
      <c r="A43" s="127">
        <v>41</v>
      </c>
      <c r="B43" s="85" t="s">
        <v>328</v>
      </c>
      <c r="C43" s="252">
        <v>43.98</v>
      </c>
      <c r="D43" s="85">
        <v>7144.08</v>
      </c>
      <c r="E43" s="85">
        <v>3088.51</v>
      </c>
      <c r="F43" s="85">
        <f t="shared" si="1"/>
        <v>4055.5699999999997</v>
      </c>
      <c r="G43" s="293">
        <v>24.69</v>
      </c>
      <c r="H43" s="120">
        <v>42544</v>
      </c>
      <c r="I43" s="120">
        <v>49212</v>
      </c>
      <c r="J43" s="358">
        <f t="shared" si="2"/>
        <v>0.43231738726330055</v>
      </c>
    </row>
    <row r="44" spans="1:10" x14ac:dyDescent="0.25">
      <c r="A44" s="127">
        <v>42</v>
      </c>
      <c r="B44" s="85" t="s">
        <v>329</v>
      </c>
      <c r="C44" s="252">
        <v>43.94</v>
      </c>
      <c r="D44" s="149">
        <v>5909.2</v>
      </c>
      <c r="E44" s="58">
        <v>2594.34</v>
      </c>
      <c r="F44" s="85">
        <f t="shared" si="1"/>
        <v>3314.8599999999997</v>
      </c>
      <c r="G44" s="293">
        <v>20.149999999999999</v>
      </c>
      <c r="H44" s="120">
        <v>42544</v>
      </c>
      <c r="I44" s="120">
        <v>49212</v>
      </c>
      <c r="J44" s="358">
        <f t="shared" si="2"/>
        <v>0.43903404860217971</v>
      </c>
    </row>
    <row r="45" spans="1:10" x14ac:dyDescent="0.25">
      <c r="A45" s="127">
        <v>43</v>
      </c>
      <c r="B45" s="85" t="s">
        <v>330</v>
      </c>
      <c r="C45" s="252">
        <v>43.86</v>
      </c>
      <c r="D45" s="85">
        <v>6361.11</v>
      </c>
      <c r="E45" s="85">
        <v>2774.67</v>
      </c>
      <c r="F45" s="85">
        <f t="shared" si="1"/>
        <v>3586.4399999999996</v>
      </c>
      <c r="G45" s="293">
        <v>21.82</v>
      </c>
      <c r="H45" s="120">
        <v>42544</v>
      </c>
      <c r="I45" s="120">
        <v>49212</v>
      </c>
      <c r="J45" s="358">
        <f t="shared" si="2"/>
        <v>0.43619273994633018</v>
      </c>
    </row>
    <row r="46" spans="1:10" x14ac:dyDescent="0.25">
      <c r="A46" s="127">
        <v>44</v>
      </c>
      <c r="B46" s="85" t="s">
        <v>331</v>
      </c>
      <c r="C46" s="252">
        <v>43.98</v>
      </c>
      <c r="D46" s="85">
        <v>6024.35</v>
      </c>
      <c r="E46" s="85">
        <v>2640.61</v>
      </c>
      <c r="F46" s="85">
        <f t="shared" si="1"/>
        <v>3383.7400000000002</v>
      </c>
      <c r="G46" s="293">
        <v>20.56</v>
      </c>
      <c r="H46" s="120">
        <v>42544</v>
      </c>
      <c r="I46" s="120">
        <v>49212</v>
      </c>
      <c r="J46" s="358">
        <f t="shared" si="2"/>
        <v>0.43832280660984174</v>
      </c>
    </row>
    <row r="47" spans="1:10" x14ac:dyDescent="0.25">
      <c r="A47" s="127">
        <v>45</v>
      </c>
      <c r="B47" s="85" t="s">
        <v>270</v>
      </c>
      <c r="C47" s="256">
        <v>49.79</v>
      </c>
      <c r="D47" s="58">
        <v>6116.92</v>
      </c>
      <c r="E47" s="85">
        <v>2730.98</v>
      </c>
      <c r="F47" s="85">
        <f t="shared" si="1"/>
        <v>3385.94</v>
      </c>
      <c r="G47" s="293">
        <v>20.18</v>
      </c>
      <c r="H47" s="120">
        <v>42544</v>
      </c>
      <c r="I47" s="120">
        <v>49424</v>
      </c>
      <c r="J47" s="358">
        <f t="shared" si="2"/>
        <v>0.44646325274811505</v>
      </c>
    </row>
    <row r="48" spans="1:10" x14ac:dyDescent="0.25">
      <c r="A48" s="127">
        <v>46</v>
      </c>
      <c r="B48" s="85" t="s">
        <v>341</v>
      </c>
      <c r="C48" s="252">
        <v>60.87</v>
      </c>
      <c r="D48" s="85">
        <v>11247.48</v>
      </c>
      <c r="E48" s="85">
        <v>4819.3100000000004</v>
      </c>
      <c r="F48" s="85">
        <f t="shared" si="1"/>
        <v>6428.1699999999992</v>
      </c>
      <c r="G48" s="293">
        <v>38.17</v>
      </c>
      <c r="H48" s="120">
        <v>42574</v>
      </c>
      <c r="I48" s="120">
        <v>49454</v>
      </c>
      <c r="J48" s="358">
        <f t="shared" si="2"/>
        <v>0.42847909042736687</v>
      </c>
    </row>
    <row r="49" spans="1:10" x14ac:dyDescent="0.25">
      <c r="A49" s="127">
        <v>47</v>
      </c>
      <c r="B49" s="85" t="s">
        <v>342</v>
      </c>
      <c r="C49" s="252">
        <v>43.94</v>
      </c>
      <c r="D49" s="58">
        <v>6661.89</v>
      </c>
      <c r="E49" s="58">
        <v>2895.97</v>
      </c>
      <c r="F49" s="58">
        <f t="shared" si="1"/>
        <v>3765.9200000000005</v>
      </c>
      <c r="G49" s="293">
        <v>22.35</v>
      </c>
      <c r="H49" s="120">
        <v>42574</v>
      </c>
      <c r="I49" s="120">
        <v>49454</v>
      </c>
      <c r="J49" s="358">
        <f t="shared" si="2"/>
        <v>0.43470696754224397</v>
      </c>
    </row>
    <row r="50" spans="1:10" x14ac:dyDescent="0.25">
      <c r="A50" s="127">
        <v>48</v>
      </c>
      <c r="B50" s="85" t="s">
        <v>343</v>
      </c>
      <c r="C50" s="252">
        <v>43.86</v>
      </c>
      <c r="D50" s="58">
        <v>8003.41</v>
      </c>
      <c r="E50" s="58">
        <v>3432.16</v>
      </c>
      <c r="F50" s="58">
        <f t="shared" si="1"/>
        <v>4571.25</v>
      </c>
      <c r="G50" s="293">
        <v>27.14</v>
      </c>
      <c r="H50" s="120">
        <v>42574</v>
      </c>
      <c r="I50" s="120">
        <v>49454</v>
      </c>
      <c r="J50" s="358">
        <f t="shared" si="2"/>
        <v>0.42883720814003029</v>
      </c>
    </row>
    <row r="51" spans="1:10" x14ac:dyDescent="0.25">
      <c r="A51" s="127">
        <v>49</v>
      </c>
      <c r="B51" s="58" t="s">
        <v>267</v>
      </c>
      <c r="C51" s="252">
        <v>64.87</v>
      </c>
      <c r="D51" s="58">
        <v>10186.629999999999</v>
      </c>
      <c r="E51" s="58">
        <v>4443.8100000000004</v>
      </c>
      <c r="F51" s="58">
        <f t="shared" si="1"/>
        <v>5742.8199999999988</v>
      </c>
      <c r="G51" s="293">
        <v>34.369999999999997</v>
      </c>
      <c r="H51" s="120">
        <v>42574</v>
      </c>
      <c r="I51" s="120">
        <v>49424</v>
      </c>
      <c r="J51" s="358">
        <f t="shared" si="2"/>
        <v>0.43623946290382598</v>
      </c>
    </row>
    <row r="52" spans="1:10" x14ac:dyDescent="0.25">
      <c r="A52" s="127">
        <v>50</v>
      </c>
      <c r="B52" s="58" t="s">
        <v>268</v>
      </c>
      <c r="C52" s="252">
        <v>81.89</v>
      </c>
      <c r="D52" s="58">
        <v>11217.43</v>
      </c>
      <c r="E52" s="58">
        <v>4953.01</v>
      </c>
      <c r="F52" s="58">
        <f t="shared" si="1"/>
        <v>6264.42</v>
      </c>
      <c r="G52" s="293">
        <v>37.57</v>
      </c>
      <c r="H52" s="120">
        <v>42574</v>
      </c>
      <c r="I52" s="120">
        <v>49424</v>
      </c>
      <c r="J52" s="358">
        <f t="shared" si="2"/>
        <v>0.4415458799386312</v>
      </c>
    </row>
    <row r="53" spans="1:10" x14ac:dyDescent="0.25">
      <c r="A53" s="127">
        <v>51</v>
      </c>
      <c r="B53" s="58" t="s">
        <v>1103</v>
      </c>
      <c r="C53" s="252">
        <v>64.89</v>
      </c>
      <c r="D53" s="58">
        <v>10818.94</v>
      </c>
      <c r="E53" s="58">
        <v>4666.74</v>
      </c>
      <c r="F53" s="61">
        <f t="shared" si="1"/>
        <v>6152.2000000000007</v>
      </c>
      <c r="G53" s="293">
        <v>37.92</v>
      </c>
      <c r="H53" s="120">
        <v>42574</v>
      </c>
      <c r="I53" s="120">
        <v>49240</v>
      </c>
      <c r="J53" s="358">
        <f t="shared" si="2"/>
        <v>0.43134909704647584</v>
      </c>
    </row>
    <row r="54" spans="1:10" x14ac:dyDescent="0.25">
      <c r="A54" s="127">
        <v>52</v>
      </c>
      <c r="B54" s="58" t="s">
        <v>348</v>
      </c>
      <c r="C54" s="252">
        <v>32.79</v>
      </c>
      <c r="D54" s="58">
        <v>3604.25</v>
      </c>
      <c r="E54" s="58">
        <v>1613.97</v>
      </c>
      <c r="F54" s="58">
        <f t="shared" si="1"/>
        <v>1990.28</v>
      </c>
      <c r="G54" s="293">
        <v>12.49</v>
      </c>
      <c r="H54" s="120">
        <v>42574</v>
      </c>
      <c r="I54" s="120">
        <v>49181</v>
      </c>
      <c r="J54" s="358">
        <f>E54/D54</f>
        <v>0.44779635152944441</v>
      </c>
    </row>
    <row r="55" spans="1:10" x14ac:dyDescent="0.25">
      <c r="A55" s="127">
        <v>53</v>
      </c>
      <c r="B55" s="85" t="s">
        <v>349</v>
      </c>
      <c r="C55" s="252">
        <v>32.700000000000003</v>
      </c>
      <c r="D55" s="85">
        <v>3169.96</v>
      </c>
      <c r="E55" s="58">
        <v>1439.78</v>
      </c>
      <c r="F55" s="58">
        <f t="shared" si="1"/>
        <v>1730.18</v>
      </c>
      <c r="G55" s="293">
        <v>10.87</v>
      </c>
      <c r="H55" s="120">
        <v>42574</v>
      </c>
      <c r="I55" s="120">
        <v>49181</v>
      </c>
      <c r="J55" s="358">
        <f t="shared" ref="J55:J62" si="3">E55/D55</f>
        <v>0.45419500561521281</v>
      </c>
    </row>
    <row r="56" spans="1:10" x14ac:dyDescent="0.25">
      <c r="A56" s="138">
        <v>54</v>
      </c>
      <c r="B56" s="85" t="s">
        <v>350</v>
      </c>
      <c r="C56" s="252">
        <v>32.71</v>
      </c>
      <c r="D56" s="85">
        <v>3170.91</v>
      </c>
      <c r="E56" s="85">
        <v>1440.2</v>
      </c>
      <c r="F56" s="58">
        <f t="shared" si="1"/>
        <v>1730.7099999999998</v>
      </c>
      <c r="G56" s="293">
        <v>10.88</v>
      </c>
      <c r="H56" s="381">
        <v>42574</v>
      </c>
      <c r="I56" s="381">
        <v>49181</v>
      </c>
      <c r="J56" s="382">
        <f t="shared" si="3"/>
        <v>0.45419138354604832</v>
      </c>
    </row>
    <row r="57" spans="1:10" x14ac:dyDescent="0.25">
      <c r="A57" s="138">
        <v>55</v>
      </c>
      <c r="B57" s="58" t="s">
        <v>1104</v>
      </c>
      <c r="C57" s="252">
        <v>33.07</v>
      </c>
      <c r="D57" s="58">
        <v>3205.83</v>
      </c>
      <c r="E57" s="58">
        <v>1456.06</v>
      </c>
      <c r="F57" s="58">
        <f t="shared" si="1"/>
        <v>1749.77</v>
      </c>
      <c r="G57" s="293">
        <v>10.99</v>
      </c>
      <c r="H57" s="120">
        <v>42574</v>
      </c>
      <c r="I57" s="120">
        <v>49181</v>
      </c>
      <c r="J57" s="358">
        <f t="shared" si="3"/>
        <v>0.4541912702794596</v>
      </c>
    </row>
    <row r="58" spans="1:10" x14ac:dyDescent="0.25">
      <c r="A58" s="127">
        <v>56</v>
      </c>
      <c r="B58" s="58" t="s">
        <v>1105</v>
      </c>
      <c r="C58" s="252">
        <v>33.14</v>
      </c>
      <c r="D58" s="58">
        <v>3212.61</v>
      </c>
      <c r="E58" s="58">
        <v>1459.14</v>
      </c>
      <c r="F58" s="58">
        <f t="shared" si="1"/>
        <v>1753.47</v>
      </c>
      <c r="G58" s="293">
        <v>11.01</v>
      </c>
      <c r="H58" s="120">
        <v>42574</v>
      </c>
      <c r="I58" s="120">
        <v>49181</v>
      </c>
      <c r="J58" s="358">
        <f t="shared" si="3"/>
        <v>0.45419145181021042</v>
      </c>
    </row>
    <row r="59" spans="1:10" x14ac:dyDescent="0.25">
      <c r="A59" s="384">
        <v>57</v>
      </c>
      <c r="B59" s="378" t="s">
        <v>1106</v>
      </c>
      <c r="C59" s="379">
        <v>33.01</v>
      </c>
      <c r="D59" s="378">
        <v>3199.99</v>
      </c>
      <c r="E59" s="378">
        <v>1453.41</v>
      </c>
      <c r="F59" s="348">
        <f t="shared" si="1"/>
        <v>1746.5799999999997</v>
      </c>
      <c r="G59" s="380">
        <v>10.97</v>
      </c>
      <c r="H59" s="385">
        <v>42574</v>
      </c>
      <c r="I59" s="385">
        <v>49181</v>
      </c>
      <c r="J59" s="383">
        <f t="shared" si="3"/>
        <v>0.45419204435013866</v>
      </c>
    </row>
    <row r="60" spans="1:10" x14ac:dyDescent="0.25">
      <c r="A60" s="127">
        <v>58</v>
      </c>
      <c r="B60" s="85" t="s">
        <v>352</v>
      </c>
      <c r="C60" s="252">
        <v>32.770000000000003</v>
      </c>
      <c r="D60" s="85">
        <v>3176.72</v>
      </c>
      <c r="E60" s="85">
        <v>1442.84</v>
      </c>
      <c r="F60" s="85">
        <f t="shared" si="1"/>
        <v>1733.8799999999999</v>
      </c>
      <c r="G60" s="294">
        <v>10.9</v>
      </c>
      <c r="H60" s="120">
        <v>42574</v>
      </c>
      <c r="I60" s="120">
        <v>49181</v>
      </c>
      <c r="J60" s="358">
        <f t="shared" si="3"/>
        <v>0.45419174494447101</v>
      </c>
    </row>
    <row r="61" spans="1:10" x14ac:dyDescent="0.25">
      <c r="A61" s="127">
        <v>59</v>
      </c>
      <c r="B61" s="58" t="s">
        <v>353</v>
      </c>
      <c r="C61" s="379">
        <v>33.020000000000003</v>
      </c>
      <c r="D61" s="58">
        <v>3892.5</v>
      </c>
      <c r="E61" s="58">
        <v>1730.47</v>
      </c>
      <c r="F61" s="58">
        <f t="shared" si="1"/>
        <v>2162.0299999999997</v>
      </c>
      <c r="G61" s="380">
        <v>13.57</v>
      </c>
      <c r="H61" s="120">
        <v>42574</v>
      </c>
      <c r="I61" s="120">
        <v>49181</v>
      </c>
      <c r="J61" s="358">
        <f t="shared" si="3"/>
        <v>0.44456518946692358</v>
      </c>
    </row>
    <row r="62" spans="1:10" x14ac:dyDescent="0.25">
      <c r="A62" s="127">
        <v>60</v>
      </c>
      <c r="B62" s="58" t="s">
        <v>354</v>
      </c>
      <c r="C62" s="252">
        <v>32.82</v>
      </c>
      <c r="D62" s="58">
        <v>3181.59</v>
      </c>
      <c r="E62" s="58">
        <v>1445.05</v>
      </c>
      <c r="F62" s="58">
        <f t="shared" si="1"/>
        <v>1736.5400000000002</v>
      </c>
      <c r="G62" s="294">
        <v>10.91</v>
      </c>
      <c r="H62" s="120">
        <v>42574</v>
      </c>
      <c r="I62" s="120">
        <v>49181</v>
      </c>
      <c r="J62" s="358">
        <f t="shared" si="3"/>
        <v>0.45419114342199968</v>
      </c>
    </row>
    <row r="63" spans="1:10" x14ac:dyDescent="0.25">
      <c r="A63" s="127">
        <v>61</v>
      </c>
      <c r="B63" s="58" t="s">
        <v>265</v>
      </c>
      <c r="C63" s="379">
        <v>50.71</v>
      </c>
      <c r="D63" s="58">
        <v>7877.02</v>
      </c>
      <c r="E63" s="58">
        <v>3417.97</v>
      </c>
      <c r="F63" s="58">
        <f t="shared" si="1"/>
        <v>4459.0500000000011</v>
      </c>
      <c r="G63" s="380">
        <v>27.07</v>
      </c>
      <c r="H63" s="120">
        <v>42605</v>
      </c>
      <c r="I63" s="120">
        <v>49334</v>
      </c>
      <c r="J63" s="358">
        <f t="shared" ref="J63:J89" si="4">E63/D63</f>
        <v>0.43391663344767434</v>
      </c>
    </row>
    <row r="64" spans="1:10" x14ac:dyDescent="0.25">
      <c r="A64" s="127">
        <v>62</v>
      </c>
      <c r="B64" s="58" t="s">
        <v>266</v>
      </c>
      <c r="C64" s="252">
        <v>63.83</v>
      </c>
      <c r="D64" s="58">
        <v>9352.2900000000009</v>
      </c>
      <c r="E64" s="58">
        <v>4077.21</v>
      </c>
      <c r="F64" s="58">
        <f t="shared" si="1"/>
        <v>5275.0800000000008</v>
      </c>
      <c r="G64" s="294">
        <v>32</v>
      </c>
      <c r="H64" s="120">
        <v>42605</v>
      </c>
      <c r="I64" s="120">
        <v>49334</v>
      </c>
      <c r="J64" s="358">
        <f t="shared" si="4"/>
        <v>0.43595846578752367</v>
      </c>
    </row>
    <row r="65" spans="1:10" x14ac:dyDescent="0.25">
      <c r="A65" s="127">
        <v>63</v>
      </c>
      <c r="B65" s="58" t="s">
        <v>308</v>
      </c>
      <c r="C65" s="252">
        <v>23.75</v>
      </c>
      <c r="D65" s="58">
        <v>3932.82</v>
      </c>
      <c r="E65" s="58">
        <v>1756.15</v>
      </c>
      <c r="F65" s="58">
        <f t="shared" si="1"/>
        <v>2176.67</v>
      </c>
      <c r="G65" s="380">
        <v>13.53</v>
      </c>
      <c r="H65" s="120">
        <v>42636</v>
      </c>
      <c r="I65" s="120">
        <v>49285</v>
      </c>
      <c r="J65" s="358">
        <f t="shared" si="4"/>
        <v>0.44653709043383627</v>
      </c>
    </row>
    <row r="66" spans="1:10" x14ac:dyDescent="0.25">
      <c r="A66" s="127">
        <v>64</v>
      </c>
      <c r="B66" s="58" t="s">
        <v>309</v>
      </c>
      <c r="C66" s="252">
        <v>28.73</v>
      </c>
      <c r="D66" s="85">
        <v>5407.9</v>
      </c>
      <c r="E66" s="85">
        <v>2384.59</v>
      </c>
      <c r="F66" s="85">
        <f t="shared" si="1"/>
        <v>3023.3099999999995</v>
      </c>
      <c r="G66" s="294">
        <v>18.8</v>
      </c>
      <c r="H66" s="120">
        <v>42636</v>
      </c>
      <c r="I66" s="120">
        <v>49285</v>
      </c>
      <c r="J66" s="358">
        <f t="shared" si="4"/>
        <v>0.44094565358087251</v>
      </c>
    </row>
    <row r="67" spans="1:10" x14ac:dyDescent="0.25">
      <c r="A67" s="127">
        <v>65</v>
      </c>
      <c r="B67" s="85" t="s">
        <v>299</v>
      </c>
      <c r="C67" s="252">
        <v>49.49</v>
      </c>
      <c r="D67" s="85">
        <v>9839.17</v>
      </c>
      <c r="E67" s="85">
        <v>4188</v>
      </c>
      <c r="F67" s="85">
        <f t="shared" si="1"/>
        <v>5651.17</v>
      </c>
      <c r="G67" s="293">
        <v>33.24</v>
      </c>
      <c r="H67" s="120">
        <v>42666</v>
      </c>
      <c r="I67" s="120">
        <v>49575</v>
      </c>
      <c r="J67" s="358">
        <f t="shared" si="4"/>
        <v>0.42564565913588237</v>
      </c>
    </row>
    <row r="68" spans="1:10" x14ac:dyDescent="0.25">
      <c r="A68" s="127">
        <v>66</v>
      </c>
      <c r="B68" s="85" t="s">
        <v>300</v>
      </c>
      <c r="C68" s="252">
        <v>49.14</v>
      </c>
      <c r="D68" s="85">
        <v>9809.18</v>
      </c>
      <c r="E68" s="85">
        <v>4174.2299999999996</v>
      </c>
      <c r="F68" s="85">
        <f t="shared" si="1"/>
        <v>5634.9500000000007</v>
      </c>
      <c r="G68" s="294">
        <v>33.14</v>
      </c>
      <c r="H68" s="120">
        <v>42666</v>
      </c>
      <c r="I68" s="120">
        <v>49575</v>
      </c>
      <c r="J68" s="358">
        <f t="shared" si="4"/>
        <v>0.42554321564085879</v>
      </c>
    </row>
    <row r="69" spans="1:10" x14ac:dyDescent="0.25">
      <c r="A69" s="127">
        <v>67</v>
      </c>
      <c r="B69" s="85" t="s">
        <v>301</v>
      </c>
      <c r="C69" s="252">
        <v>50.04</v>
      </c>
      <c r="D69" s="58">
        <v>9981.7999999999993</v>
      </c>
      <c r="E69" s="58">
        <v>4247.8599999999997</v>
      </c>
      <c r="F69" s="58">
        <f t="shared" si="1"/>
        <v>5733.94</v>
      </c>
      <c r="G69" s="293">
        <v>33.729999999999997</v>
      </c>
      <c r="H69" s="120">
        <v>42666</v>
      </c>
      <c r="I69" s="120">
        <v>49575</v>
      </c>
      <c r="J69" s="358">
        <f t="shared" si="4"/>
        <v>0.42556052014666695</v>
      </c>
    </row>
    <row r="70" spans="1:10" x14ac:dyDescent="0.25">
      <c r="A70" s="127">
        <v>68</v>
      </c>
      <c r="B70" s="85" t="s">
        <v>1108</v>
      </c>
      <c r="C70" s="252">
        <v>65.37</v>
      </c>
      <c r="D70" s="58">
        <v>12921.9</v>
      </c>
      <c r="E70" s="58">
        <v>5502.07</v>
      </c>
      <c r="F70" s="58">
        <f t="shared" si="1"/>
        <v>7419.83</v>
      </c>
      <c r="G70" s="293">
        <v>43.65</v>
      </c>
      <c r="H70" s="120">
        <v>42666</v>
      </c>
      <c r="I70" s="120">
        <v>49575</v>
      </c>
      <c r="J70" s="358">
        <f t="shared" si="4"/>
        <v>0.42579419435222371</v>
      </c>
    </row>
    <row r="71" spans="1:10" x14ac:dyDescent="0.25">
      <c r="A71" s="127">
        <v>69</v>
      </c>
      <c r="B71" s="85" t="s">
        <v>1109</v>
      </c>
      <c r="C71" s="252">
        <v>58.33</v>
      </c>
      <c r="D71" s="85">
        <v>10406.549999999999</v>
      </c>
      <c r="E71" s="85">
        <v>4375.3599999999997</v>
      </c>
      <c r="F71" s="85">
        <f t="shared" si="1"/>
        <v>6031.19</v>
      </c>
      <c r="G71" s="293">
        <v>36.090000000000003</v>
      </c>
      <c r="H71" s="120">
        <v>42666</v>
      </c>
      <c r="I71" s="120">
        <v>49454</v>
      </c>
      <c r="J71" s="358">
        <f t="shared" si="4"/>
        <v>0.4204428941387876</v>
      </c>
    </row>
    <row r="72" spans="1:10" x14ac:dyDescent="0.25">
      <c r="A72" s="127">
        <v>70</v>
      </c>
      <c r="B72" s="85" t="s">
        <v>1110</v>
      </c>
      <c r="C72" s="252">
        <v>43.98</v>
      </c>
      <c r="D72" s="85">
        <v>7844.36</v>
      </c>
      <c r="E72" s="85">
        <v>3462.14</v>
      </c>
      <c r="F72" s="85">
        <f t="shared" si="1"/>
        <v>4382.2199999999993</v>
      </c>
      <c r="G72" s="293">
        <v>25.84</v>
      </c>
      <c r="H72" s="120">
        <v>42666</v>
      </c>
      <c r="I72" s="120">
        <v>49546</v>
      </c>
      <c r="J72" s="358">
        <f t="shared" si="4"/>
        <v>0.44135404290471114</v>
      </c>
    </row>
    <row r="73" spans="1:10" x14ac:dyDescent="0.25">
      <c r="A73" s="127">
        <v>71</v>
      </c>
      <c r="B73" s="85" t="s">
        <v>1131</v>
      </c>
      <c r="C73" s="252">
        <v>44.62</v>
      </c>
      <c r="D73" s="85">
        <v>6436.22</v>
      </c>
      <c r="E73" s="85">
        <v>2948.69</v>
      </c>
      <c r="F73" s="85">
        <f t="shared" si="1"/>
        <v>3487.53</v>
      </c>
      <c r="G73" s="293">
        <v>20.69</v>
      </c>
      <c r="H73" s="120">
        <v>42697</v>
      </c>
      <c r="I73" s="120">
        <v>49577</v>
      </c>
      <c r="J73" s="358">
        <f t="shared" si="4"/>
        <v>0.45814002628872225</v>
      </c>
    </row>
    <row r="74" spans="1:10" x14ac:dyDescent="0.25">
      <c r="A74" s="127">
        <v>72</v>
      </c>
      <c r="B74" s="85" t="s">
        <v>1132</v>
      </c>
      <c r="C74" s="252">
        <v>44.62</v>
      </c>
      <c r="D74" s="85">
        <v>7659.93</v>
      </c>
      <c r="E74" s="85">
        <v>3438.18</v>
      </c>
      <c r="F74" s="85">
        <f t="shared" si="1"/>
        <v>4221.75</v>
      </c>
      <c r="G74" s="294">
        <v>25</v>
      </c>
      <c r="H74" s="120">
        <v>42697</v>
      </c>
      <c r="I74" s="120">
        <v>49577</v>
      </c>
      <c r="J74" s="358">
        <f t="shared" si="4"/>
        <v>0.44885266575543115</v>
      </c>
    </row>
    <row r="75" spans="1:10" x14ac:dyDescent="0.25">
      <c r="A75" s="127">
        <v>73</v>
      </c>
      <c r="B75" s="58" t="s">
        <v>293</v>
      </c>
      <c r="C75" s="252">
        <v>69.3</v>
      </c>
      <c r="D75" s="58">
        <v>18279.55</v>
      </c>
      <c r="E75" s="58">
        <v>7971.76</v>
      </c>
      <c r="F75" s="58">
        <f t="shared" si="1"/>
        <v>10307.789999999999</v>
      </c>
      <c r="G75" s="293">
        <v>62.52</v>
      </c>
      <c r="H75" s="120">
        <v>42697</v>
      </c>
      <c r="I75" s="120">
        <v>49454</v>
      </c>
      <c r="J75" s="358">
        <f t="shared" si="4"/>
        <v>0.43610263928816634</v>
      </c>
    </row>
    <row r="76" spans="1:10" x14ac:dyDescent="0.25">
      <c r="A76" s="127">
        <v>74</v>
      </c>
      <c r="B76" s="58" t="s">
        <v>294</v>
      </c>
      <c r="C76" s="252">
        <v>35.49</v>
      </c>
      <c r="D76" s="58">
        <v>9622.44</v>
      </c>
      <c r="E76" s="58">
        <v>4186.95</v>
      </c>
      <c r="F76" s="58">
        <f t="shared" si="1"/>
        <v>5435.4900000000007</v>
      </c>
      <c r="G76" s="293">
        <v>32.97</v>
      </c>
      <c r="H76" s="120">
        <v>42697</v>
      </c>
      <c r="I76" s="120">
        <v>49454</v>
      </c>
      <c r="J76" s="358">
        <f t="shared" si="4"/>
        <v>0.43512352376320346</v>
      </c>
    </row>
    <row r="77" spans="1:10" s="2" customFormat="1" x14ac:dyDescent="0.25">
      <c r="A77" s="127">
        <v>75</v>
      </c>
      <c r="B77" s="58" t="s">
        <v>318</v>
      </c>
      <c r="C77" s="252">
        <v>30.09</v>
      </c>
      <c r="D77" s="58">
        <v>5339.71</v>
      </c>
      <c r="E77" s="58">
        <v>2376.5</v>
      </c>
      <c r="F77" s="58">
        <f t="shared" si="1"/>
        <v>2963.21</v>
      </c>
      <c r="G77" s="293">
        <v>17.809999999999999</v>
      </c>
      <c r="H77" s="120">
        <v>42697</v>
      </c>
      <c r="I77" s="120">
        <v>49454</v>
      </c>
      <c r="J77" s="358">
        <f t="shared" si="4"/>
        <v>0.44506162319676534</v>
      </c>
    </row>
    <row r="78" spans="1:10" s="2" customFormat="1" x14ac:dyDescent="0.25">
      <c r="A78" s="127">
        <v>76</v>
      </c>
      <c r="B78" s="58" t="s">
        <v>319</v>
      </c>
      <c r="C78" s="252">
        <v>30.09</v>
      </c>
      <c r="D78" s="58">
        <v>6352.67</v>
      </c>
      <c r="E78" s="58">
        <v>2781.69</v>
      </c>
      <c r="F78" s="58">
        <f t="shared" si="1"/>
        <v>3570.98</v>
      </c>
      <c r="G78" s="293">
        <v>21.48</v>
      </c>
      <c r="H78" s="120">
        <v>42697</v>
      </c>
      <c r="I78" s="120">
        <v>49454</v>
      </c>
      <c r="J78" s="358">
        <f t="shared" si="4"/>
        <v>0.43787730198483471</v>
      </c>
    </row>
    <row r="79" spans="1:10" s="2" customFormat="1" x14ac:dyDescent="0.25">
      <c r="A79" s="127">
        <v>77</v>
      </c>
      <c r="B79" s="58" t="s">
        <v>320</v>
      </c>
      <c r="C79" s="252">
        <v>43.98</v>
      </c>
      <c r="D79" s="58">
        <v>8282.36</v>
      </c>
      <c r="E79" s="58">
        <v>3664.62</v>
      </c>
      <c r="F79" s="58">
        <f t="shared" si="1"/>
        <v>4617.7400000000007</v>
      </c>
      <c r="G79" s="293">
        <v>27.79</v>
      </c>
      <c r="H79" s="120">
        <v>42697</v>
      </c>
      <c r="I79" s="120">
        <v>49454</v>
      </c>
      <c r="J79" s="358">
        <f t="shared" si="4"/>
        <v>0.4424608444935984</v>
      </c>
    </row>
    <row r="80" spans="1:10" s="2" customFormat="1" x14ac:dyDescent="0.25">
      <c r="A80" s="127">
        <v>78</v>
      </c>
      <c r="B80" s="58" t="s">
        <v>319</v>
      </c>
      <c r="C80" s="252">
        <v>43.98</v>
      </c>
      <c r="D80" s="58">
        <v>7234.26</v>
      </c>
      <c r="E80" s="58">
        <v>3245.4</v>
      </c>
      <c r="F80" s="58">
        <f t="shared" si="1"/>
        <v>3988.86</v>
      </c>
      <c r="G80" s="293">
        <v>23.99</v>
      </c>
      <c r="H80" s="120">
        <v>42697</v>
      </c>
      <c r="I80" s="120">
        <v>49454</v>
      </c>
      <c r="J80" s="358">
        <f t="shared" si="4"/>
        <v>0.44861533868011377</v>
      </c>
    </row>
    <row r="81" spans="1:10" x14ac:dyDescent="0.25">
      <c r="A81" s="127">
        <v>79</v>
      </c>
      <c r="B81" s="58" t="s">
        <v>335</v>
      </c>
      <c r="C81" s="252">
        <v>49.63</v>
      </c>
      <c r="D81" s="58">
        <v>8500.73</v>
      </c>
      <c r="E81" s="58">
        <v>3752.8</v>
      </c>
      <c r="F81" s="58">
        <f t="shared" si="1"/>
        <v>4747.9299999999994</v>
      </c>
      <c r="G81" s="293">
        <v>30.06</v>
      </c>
      <c r="H81" s="120">
        <v>42727</v>
      </c>
      <c r="I81" s="120">
        <v>49273</v>
      </c>
      <c r="J81" s="358">
        <f t="shared" si="4"/>
        <v>0.44146796804509736</v>
      </c>
    </row>
    <row r="82" spans="1:10" s="2" customFormat="1" x14ac:dyDescent="0.25">
      <c r="A82" s="127">
        <v>80</v>
      </c>
      <c r="B82" s="58" t="s">
        <v>359</v>
      </c>
      <c r="C82" s="252">
        <v>36.57</v>
      </c>
      <c r="D82" s="58">
        <v>5158.62</v>
      </c>
      <c r="E82" s="58">
        <v>2232.33</v>
      </c>
      <c r="F82" s="58">
        <f t="shared" si="1"/>
        <v>2926.29</v>
      </c>
      <c r="G82" s="293">
        <v>17.38</v>
      </c>
      <c r="H82" s="120">
        <v>42758</v>
      </c>
      <c r="I82" s="120">
        <v>49607</v>
      </c>
      <c r="J82" s="358">
        <f t="shared" si="4"/>
        <v>0.43273782523232956</v>
      </c>
    </row>
    <row r="83" spans="1:10" s="2" customFormat="1" x14ac:dyDescent="0.25">
      <c r="A83" s="127">
        <v>81</v>
      </c>
      <c r="B83" s="58" t="s">
        <v>361</v>
      </c>
      <c r="C83" s="252">
        <v>50.59</v>
      </c>
      <c r="D83" s="58">
        <v>7128.36</v>
      </c>
      <c r="E83" s="58">
        <v>3084.98</v>
      </c>
      <c r="F83" s="58">
        <f t="shared" si="1"/>
        <v>4043.3799999999997</v>
      </c>
      <c r="G83" s="293">
        <v>24.03</v>
      </c>
      <c r="H83" s="120">
        <v>42758</v>
      </c>
      <c r="I83" s="120">
        <v>49607</v>
      </c>
      <c r="J83" s="358">
        <f t="shared" si="4"/>
        <v>0.43277556127917222</v>
      </c>
    </row>
    <row r="84" spans="1:10" s="2" customFormat="1" x14ac:dyDescent="0.25">
      <c r="A84" s="127">
        <v>82</v>
      </c>
      <c r="B84" s="58" t="s">
        <v>310</v>
      </c>
      <c r="C84" s="252">
        <v>50.43</v>
      </c>
      <c r="D84" s="58">
        <v>7213.71</v>
      </c>
      <c r="E84" s="58">
        <v>3080.25</v>
      </c>
      <c r="F84" s="58">
        <f t="shared" si="1"/>
        <v>4133.46</v>
      </c>
      <c r="G84" s="293">
        <v>24.75</v>
      </c>
      <c r="H84" s="120">
        <v>42758</v>
      </c>
      <c r="I84" s="120">
        <v>49577</v>
      </c>
      <c r="J84" s="358">
        <f t="shared" si="4"/>
        <v>0.4269994219340672</v>
      </c>
    </row>
    <row r="85" spans="1:10" s="2" customFormat="1" x14ac:dyDescent="0.25">
      <c r="A85" s="127">
        <v>83</v>
      </c>
      <c r="B85" s="58" t="s">
        <v>311</v>
      </c>
      <c r="C85" s="252">
        <v>36.29</v>
      </c>
      <c r="D85" s="58">
        <v>5964.74</v>
      </c>
      <c r="E85" s="58">
        <v>2526.0500000000002</v>
      </c>
      <c r="F85" s="58">
        <f t="shared" si="1"/>
        <v>3438.6899999999996</v>
      </c>
      <c r="G85" s="293">
        <v>20.61</v>
      </c>
      <c r="H85" s="120">
        <v>42758</v>
      </c>
      <c r="I85" s="120">
        <v>49577</v>
      </c>
      <c r="J85" s="358">
        <f t="shared" si="4"/>
        <v>0.42349708453344159</v>
      </c>
    </row>
    <row r="86" spans="1:10" s="2" customFormat="1" x14ac:dyDescent="0.25">
      <c r="A86" s="127">
        <v>84</v>
      </c>
      <c r="B86" s="58" t="s">
        <v>264</v>
      </c>
      <c r="C86" s="252">
        <v>64.5</v>
      </c>
      <c r="D86" s="58">
        <v>9025.42</v>
      </c>
      <c r="E86" s="58">
        <v>3860.52</v>
      </c>
      <c r="F86" s="61">
        <f t="shared" si="1"/>
        <v>5164.8999999999996</v>
      </c>
      <c r="G86" s="293">
        <v>31.03</v>
      </c>
      <c r="H86" s="120">
        <v>42758</v>
      </c>
      <c r="I86" s="120">
        <v>49577</v>
      </c>
      <c r="J86" s="358">
        <f t="shared" si="4"/>
        <v>0.42773854291545432</v>
      </c>
    </row>
    <row r="87" spans="1:10" s="2" customFormat="1" x14ac:dyDescent="0.25">
      <c r="A87" s="127">
        <v>85</v>
      </c>
      <c r="B87" s="58" t="s">
        <v>1162</v>
      </c>
      <c r="C87" s="252">
        <v>49.54</v>
      </c>
      <c r="D87" s="58">
        <v>6921.5</v>
      </c>
      <c r="E87" s="58">
        <v>2648.78</v>
      </c>
      <c r="F87" s="58">
        <f t="shared" si="1"/>
        <v>4272.7199999999993</v>
      </c>
      <c r="G87" s="293">
        <v>30.54</v>
      </c>
      <c r="H87" s="120">
        <v>43244</v>
      </c>
      <c r="I87" s="120">
        <v>50180</v>
      </c>
      <c r="J87" s="358">
        <f t="shared" si="4"/>
        <v>0.38268872354258471</v>
      </c>
    </row>
    <row r="88" spans="1:10" s="2" customFormat="1" x14ac:dyDescent="0.25">
      <c r="A88" s="127">
        <v>86</v>
      </c>
      <c r="B88" s="58" t="s">
        <v>1163</v>
      </c>
      <c r="C88" s="252">
        <v>31.68</v>
      </c>
      <c r="D88" s="58">
        <v>4305.05</v>
      </c>
      <c r="E88" s="58">
        <v>1726.1</v>
      </c>
      <c r="F88" s="58">
        <f t="shared" si="1"/>
        <v>2578.9500000000003</v>
      </c>
      <c r="G88" s="293">
        <v>20.170000000000002</v>
      </c>
      <c r="H88" s="120">
        <v>43258</v>
      </c>
      <c r="I88" s="120">
        <v>50119</v>
      </c>
      <c r="J88" s="358">
        <f t="shared" si="4"/>
        <v>0.40094772418438807</v>
      </c>
    </row>
    <row r="89" spans="1:10" s="2" customFormat="1" x14ac:dyDescent="0.25">
      <c r="A89" s="127">
        <v>87</v>
      </c>
      <c r="B89" s="58" t="s">
        <v>1164</v>
      </c>
      <c r="C89" s="252">
        <v>36.25</v>
      </c>
      <c r="D89" s="58">
        <v>4590.79</v>
      </c>
      <c r="E89" s="58">
        <v>1997.94</v>
      </c>
      <c r="F89" s="58">
        <f t="shared" si="1"/>
        <v>2592.85</v>
      </c>
      <c r="G89" s="293">
        <v>23.41</v>
      </c>
      <c r="H89" s="120" t="s">
        <v>1165</v>
      </c>
      <c r="I89" s="120">
        <v>50119</v>
      </c>
      <c r="J89" s="358">
        <f t="shared" si="4"/>
        <v>0.43520614099098415</v>
      </c>
    </row>
    <row r="90" spans="1:10" s="2" customFormat="1" x14ac:dyDescent="0.25">
      <c r="A90" s="127">
        <v>88</v>
      </c>
      <c r="B90" s="58"/>
      <c r="C90" s="252"/>
      <c r="D90" s="58"/>
      <c r="E90" s="58"/>
      <c r="F90" s="58"/>
      <c r="G90" s="293"/>
      <c r="H90" s="120"/>
      <c r="I90" s="120"/>
      <c r="J90" s="358"/>
    </row>
    <row r="91" spans="1:10" s="2" customFormat="1" x14ac:dyDescent="0.25">
      <c r="A91" s="127">
        <v>89</v>
      </c>
      <c r="B91" s="58"/>
      <c r="C91" s="252"/>
      <c r="D91" s="58"/>
      <c r="E91" s="58"/>
      <c r="F91" s="58"/>
      <c r="G91" s="293"/>
      <c r="H91" s="120"/>
      <c r="I91" s="120"/>
      <c r="J91" s="358"/>
    </row>
    <row r="92" spans="1:10" s="2" customFormat="1" x14ac:dyDescent="0.25">
      <c r="A92" s="127">
        <v>90</v>
      </c>
      <c r="B92" s="58"/>
      <c r="C92" s="252"/>
      <c r="D92" s="58"/>
      <c r="E92" s="58"/>
      <c r="F92" s="58"/>
      <c r="G92" s="293"/>
      <c r="H92" s="120"/>
      <c r="I92" s="120"/>
      <c r="J92" s="358"/>
    </row>
    <row r="93" spans="1:10" x14ac:dyDescent="0.25">
      <c r="B93" s="58" t="s">
        <v>1133</v>
      </c>
      <c r="C93" s="61">
        <f>AVERAGE(C3:C89)</f>
        <v>45.790114942528724</v>
      </c>
      <c r="D93" s="61">
        <f>AVERAGE(D3:D89)</f>
        <v>7754.6180459770121</v>
      </c>
      <c r="E93" s="61">
        <f>AVERAGE(E3:E89)</f>
        <v>3397.146206896552</v>
      </c>
      <c r="F93" s="61">
        <f>AVERAGE(F3:F89)</f>
        <v>4357.4717241379312</v>
      </c>
      <c r="G93" s="294">
        <f>AVERAGE(G3:G89)</f>
        <v>26.252298850574721</v>
      </c>
      <c r="H93" s="120">
        <f>AVERAGE(H3:H83)</f>
        <v>42532.641975308645</v>
      </c>
      <c r="I93" s="120">
        <f>AVERAGE(I3:I89)</f>
        <v>49390.321839080461</v>
      </c>
      <c r="J93" s="206">
        <f>AVERAGE(J3:J89)</f>
        <v>0.43898071744697237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85" workbookViewId="0">
      <selection activeCell="G136" sqref="G136"/>
    </sheetView>
  </sheetViews>
  <sheetFormatPr defaultRowHeight="15" x14ac:dyDescent="0.25"/>
  <cols>
    <col min="1" max="1" width="4.28515625" customWidth="1"/>
    <col min="2" max="2" width="25.5703125" customWidth="1"/>
    <col min="3" max="3" width="8.7109375" customWidth="1"/>
    <col min="5" max="5" width="12.140625" customWidth="1"/>
    <col min="6" max="6" width="15.28515625" customWidth="1"/>
    <col min="7" max="7" width="13.5703125" customWidth="1"/>
  </cols>
  <sheetData>
    <row r="1" spans="1:8" ht="51.75" thickBot="1" x14ac:dyDescent="0.3">
      <c r="A1" s="266" t="s">
        <v>0</v>
      </c>
      <c r="B1" s="267" t="s">
        <v>1</v>
      </c>
      <c r="C1" s="267" t="s">
        <v>262</v>
      </c>
      <c r="D1" s="267" t="s">
        <v>256</v>
      </c>
      <c r="E1" s="267" t="s">
        <v>1046</v>
      </c>
      <c r="F1" s="268" t="s">
        <v>1045</v>
      </c>
      <c r="G1" s="269" t="s">
        <v>1047</v>
      </c>
    </row>
    <row r="2" spans="1:8" x14ac:dyDescent="0.25">
      <c r="A2" s="405">
        <v>1</v>
      </c>
      <c r="B2" s="425" t="s">
        <v>257</v>
      </c>
      <c r="C2" s="426">
        <v>1</v>
      </c>
      <c r="D2" s="427">
        <v>31.82</v>
      </c>
      <c r="E2" s="428"/>
      <c r="F2" s="429">
        <f t="shared" ref="F2:F77" si="0">D2*0.028*1.21</f>
        <v>1.0780615999999998</v>
      </c>
      <c r="G2" s="430">
        <v>14.77</v>
      </c>
    </row>
    <row r="3" spans="1:8" s="2" customFormat="1" x14ac:dyDescent="0.25">
      <c r="A3" s="22">
        <v>2</v>
      </c>
      <c r="B3" s="365" t="s">
        <v>258</v>
      </c>
      <c r="C3" s="366">
        <v>2</v>
      </c>
      <c r="D3" s="367">
        <v>50.35</v>
      </c>
      <c r="E3" s="364"/>
      <c r="F3" s="368">
        <f t="shared" si="0"/>
        <v>1.7058580000000001</v>
      </c>
      <c r="G3" s="431">
        <v>22.97</v>
      </c>
    </row>
    <row r="4" spans="1:8" s="2" customFormat="1" x14ac:dyDescent="0.25">
      <c r="A4" s="21">
        <v>3</v>
      </c>
      <c r="B4" s="369" t="s">
        <v>259</v>
      </c>
      <c r="C4" s="366">
        <v>1</v>
      </c>
      <c r="D4" s="367">
        <v>32.67</v>
      </c>
      <c r="E4" s="364"/>
      <c r="F4" s="368">
        <f t="shared" si="0"/>
        <v>1.1068595999999999</v>
      </c>
      <c r="G4" s="431">
        <v>13.54</v>
      </c>
    </row>
    <row r="5" spans="1:8" s="2" customFormat="1" x14ac:dyDescent="0.25">
      <c r="A5" s="22">
        <v>4</v>
      </c>
      <c r="B5" s="365" t="s">
        <v>260</v>
      </c>
      <c r="C5" s="366">
        <v>1</v>
      </c>
      <c r="D5" s="367">
        <v>35.81</v>
      </c>
      <c r="E5" s="364"/>
      <c r="F5" s="368">
        <f t="shared" si="0"/>
        <v>1.2132428</v>
      </c>
      <c r="G5" s="431">
        <v>17.989999999999998</v>
      </c>
    </row>
    <row r="6" spans="1:8" s="2" customFormat="1" ht="15.75" x14ac:dyDescent="0.25">
      <c r="A6" s="21">
        <v>5</v>
      </c>
      <c r="B6" s="365" t="s">
        <v>261</v>
      </c>
      <c r="C6" s="366">
        <v>1</v>
      </c>
      <c r="D6" s="367">
        <v>31.8</v>
      </c>
      <c r="E6" s="365"/>
      <c r="F6" s="368">
        <f t="shared" si="0"/>
        <v>1.0773840000000001</v>
      </c>
      <c r="G6" s="431">
        <v>13.18</v>
      </c>
      <c r="H6" s="122"/>
    </row>
    <row r="7" spans="1:8" x14ac:dyDescent="0.25">
      <c r="A7" s="21">
        <v>6</v>
      </c>
      <c r="B7" s="255" t="s">
        <v>263</v>
      </c>
      <c r="C7" s="251">
        <v>2</v>
      </c>
      <c r="D7" s="252">
        <v>49.72</v>
      </c>
      <c r="E7" s="253">
        <f>D7*0.051*1.21</f>
        <v>3.0682212</v>
      </c>
      <c r="F7" s="253">
        <f t="shared" si="0"/>
        <v>1.6845136000000001</v>
      </c>
      <c r="G7" s="432"/>
    </row>
    <row r="8" spans="1:8" x14ac:dyDescent="0.25">
      <c r="A8" s="22">
        <v>7</v>
      </c>
      <c r="B8" s="250" t="s">
        <v>264</v>
      </c>
      <c r="C8" s="251">
        <v>3</v>
      </c>
      <c r="D8" s="252">
        <v>64.5</v>
      </c>
      <c r="E8" s="253">
        <f>D8*0.051*1.21</f>
        <v>3.9802949999999999</v>
      </c>
      <c r="F8" s="253">
        <f t="shared" si="0"/>
        <v>2.18526</v>
      </c>
      <c r="G8" s="432">
        <v>17.39</v>
      </c>
    </row>
    <row r="9" spans="1:8" x14ac:dyDescent="0.25">
      <c r="A9" s="21">
        <v>8</v>
      </c>
      <c r="B9" s="370" t="s">
        <v>265</v>
      </c>
      <c r="C9" s="366">
        <v>2</v>
      </c>
      <c r="D9" s="367">
        <v>50.71</v>
      </c>
      <c r="E9" s="368"/>
      <c r="F9" s="368">
        <f t="shared" si="0"/>
        <v>1.7180548</v>
      </c>
      <c r="G9" s="431">
        <v>27.07</v>
      </c>
    </row>
    <row r="10" spans="1:8" x14ac:dyDescent="0.25">
      <c r="A10" s="21">
        <v>9</v>
      </c>
      <c r="B10" s="370" t="s">
        <v>266</v>
      </c>
      <c r="C10" s="366">
        <v>3</v>
      </c>
      <c r="D10" s="367">
        <v>63.83</v>
      </c>
      <c r="E10" s="368"/>
      <c r="F10" s="368">
        <f t="shared" si="0"/>
        <v>2.1625603999999998</v>
      </c>
      <c r="G10" s="433">
        <v>32</v>
      </c>
    </row>
    <row r="11" spans="1:8" x14ac:dyDescent="0.25">
      <c r="A11" s="22">
        <v>10</v>
      </c>
      <c r="B11" s="370" t="s">
        <v>267</v>
      </c>
      <c r="C11" s="366">
        <v>3</v>
      </c>
      <c r="D11" s="367">
        <v>64.87</v>
      </c>
      <c r="E11" s="368"/>
      <c r="F11" s="368">
        <f t="shared" si="0"/>
        <v>2.1977956000000001</v>
      </c>
      <c r="G11" s="431">
        <v>34.369999999999997</v>
      </c>
    </row>
    <row r="12" spans="1:8" x14ac:dyDescent="0.25">
      <c r="A12" s="21">
        <v>11</v>
      </c>
      <c r="B12" s="365" t="s">
        <v>268</v>
      </c>
      <c r="C12" s="366">
        <v>4</v>
      </c>
      <c r="D12" s="367">
        <v>81.89</v>
      </c>
      <c r="E12" s="368"/>
      <c r="F12" s="368">
        <f t="shared" si="0"/>
        <v>2.7744331999999998</v>
      </c>
      <c r="G12" s="433">
        <v>37.57</v>
      </c>
    </row>
    <row r="13" spans="1:8" x14ac:dyDescent="0.25">
      <c r="A13" s="21">
        <v>12</v>
      </c>
      <c r="B13" s="365" t="s">
        <v>269</v>
      </c>
      <c r="C13" s="366">
        <v>2</v>
      </c>
      <c r="D13" s="367">
        <v>50.05</v>
      </c>
      <c r="E13" s="368"/>
      <c r="F13" s="368">
        <f t="shared" si="0"/>
        <v>1.695694</v>
      </c>
      <c r="G13" s="431">
        <v>33.090000000000003</v>
      </c>
    </row>
    <row r="14" spans="1:8" s="2" customFormat="1" x14ac:dyDescent="0.25">
      <c r="A14" s="22">
        <v>13</v>
      </c>
      <c r="B14" s="401" t="s">
        <v>1116</v>
      </c>
      <c r="C14" s="402"/>
      <c r="D14" s="403"/>
      <c r="E14" s="404"/>
      <c r="F14" s="404"/>
      <c r="G14" s="434"/>
    </row>
    <row r="15" spans="1:8" s="2" customFormat="1" x14ac:dyDescent="0.25">
      <c r="A15" s="21">
        <v>14</v>
      </c>
      <c r="B15" s="401" t="s">
        <v>1117</v>
      </c>
      <c r="C15" s="402"/>
      <c r="D15" s="403"/>
      <c r="E15" s="404"/>
      <c r="F15" s="404"/>
      <c r="G15" s="434"/>
    </row>
    <row r="16" spans="1:8" x14ac:dyDescent="0.25">
      <c r="A16" s="21">
        <v>15</v>
      </c>
      <c r="B16" s="370" t="s">
        <v>270</v>
      </c>
      <c r="C16" s="371">
        <v>2</v>
      </c>
      <c r="D16" s="372">
        <v>49.79</v>
      </c>
      <c r="E16" s="368"/>
      <c r="F16" s="368">
        <f t="shared" si="0"/>
        <v>1.6868852000000001</v>
      </c>
      <c r="G16" s="431">
        <v>20.18</v>
      </c>
    </row>
    <row r="17" spans="1:7" x14ac:dyDescent="0.25">
      <c r="A17" s="22">
        <v>16</v>
      </c>
      <c r="B17" s="370" t="s">
        <v>271</v>
      </c>
      <c r="C17" s="366">
        <v>3</v>
      </c>
      <c r="D17" s="367">
        <v>73.55</v>
      </c>
      <c r="E17" s="368"/>
      <c r="F17" s="368">
        <f t="shared" si="0"/>
        <v>2.4918740000000001</v>
      </c>
      <c r="G17" s="431">
        <v>46.46</v>
      </c>
    </row>
    <row r="18" spans="1:7" x14ac:dyDescent="0.25">
      <c r="A18" s="21">
        <v>17</v>
      </c>
      <c r="B18" s="365" t="s">
        <v>272</v>
      </c>
      <c r="C18" s="366">
        <v>2</v>
      </c>
      <c r="D18" s="367">
        <v>48.09</v>
      </c>
      <c r="E18" s="368"/>
      <c r="F18" s="368">
        <f t="shared" si="0"/>
        <v>1.6292892000000001</v>
      </c>
      <c r="G18" s="431">
        <v>28.32</v>
      </c>
    </row>
    <row r="19" spans="1:7" x14ac:dyDescent="0.25">
      <c r="A19" s="21">
        <v>18</v>
      </c>
      <c r="B19" s="365" t="s">
        <v>273</v>
      </c>
      <c r="C19" s="366">
        <v>1</v>
      </c>
      <c r="D19" s="367">
        <v>33.46</v>
      </c>
      <c r="E19" s="368"/>
      <c r="F19" s="368">
        <f t="shared" si="0"/>
        <v>1.1336248</v>
      </c>
      <c r="G19" s="431">
        <v>20.86</v>
      </c>
    </row>
    <row r="20" spans="1:7" x14ac:dyDescent="0.25">
      <c r="A20" s="22">
        <v>19</v>
      </c>
      <c r="B20" s="365" t="s">
        <v>274</v>
      </c>
      <c r="C20" s="366">
        <v>2</v>
      </c>
      <c r="D20" s="367">
        <v>49.51</v>
      </c>
      <c r="E20" s="368"/>
      <c r="F20" s="368">
        <f t="shared" si="0"/>
        <v>1.6773988</v>
      </c>
      <c r="G20" s="431">
        <v>29.68</v>
      </c>
    </row>
    <row r="21" spans="1:7" x14ac:dyDescent="0.25">
      <c r="A21" s="21">
        <v>20</v>
      </c>
      <c r="B21" s="365" t="s">
        <v>275</v>
      </c>
      <c r="C21" s="366">
        <v>4</v>
      </c>
      <c r="D21" s="367">
        <v>73.260000000000005</v>
      </c>
      <c r="E21" s="368"/>
      <c r="F21" s="368">
        <f t="shared" si="0"/>
        <v>2.4820488000000003</v>
      </c>
      <c r="G21" s="431">
        <v>51.45</v>
      </c>
    </row>
    <row r="22" spans="1:7" x14ac:dyDescent="0.25">
      <c r="A22" s="21">
        <v>21</v>
      </c>
      <c r="B22" s="365" t="s">
        <v>276</v>
      </c>
      <c r="C22" s="366">
        <v>2</v>
      </c>
      <c r="D22" s="367">
        <v>48.25</v>
      </c>
      <c r="E22" s="368"/>
      <c r="F22" s="368">
        <f t="shared" si="0"/>
        <v>1.6347099999999999</v>
      </c>
      <c r="G22" s="431">
        <v>28.41</v>
      </c>
    </row>
    <row r="23" spans="1:7" x14ac:dyDescent="0.25">
      <c r="A23" s="22">
        <v>22</v>
      </c>
      <c r="B23" s="365" t="s">
        <v>277</v>
      </c>
      <c r="C23" s="366">
        <v>1</v>
      </c>
      <c r="D23" s="367">
        <v>33.6</v>
      </c>
      <c r="E23" s="368"/>
      <c r="F23" s="368">
        <f t="shared" si="0"/>
        <v>1.138368</v>
      </c>
      <c r="G23" s="431">
        <v>21.52</v>
      </c>
    </row>
    <row r="24" spans="1:7" s="2" customFormat="1" x14ac:dyDescent="0.25">
      <c r="A24" s="21">
        <v>23</v>
      </c>
      <c r="B24" s="365" t="s">
        <v>278</v>
      </c>
      <c r="C24" s="366">
        <v>3</v>
      </c>
      <c r="D24" s="367">
        <v>60.09</v>
      </c>
      <c r="E24" s="368"/>
      <c r="F24" s="368">
        <f t="shared" si="0"/>
        <v>2.0358492000000004</v>
      </c>
      <c r="G24" s="431">
        <v>35.340000000000003</v>
      </c>
    </row>
    <row r="25" spans="1:7" s="2" customFormat="1" x14ac:dyDescent="0.25">
      <c r="A25" s="21">
        <v>24</v>
      </c>
      <c r="B25" s="365" t="s">
        <v>279</v>
      </c>
      <c r="C25" s="366">
        <v>3</v>
      </c>
      <c r="D25" s="367">
        <v>73.16</v>
      </c>
      <c r="E25" s="368"/>
      <c r="F25" s="368">
        <f t="shared" si="0"/>
        <v>2.4786608000000001</v>
      </c>
      <c r="G25" s="431">
        <v>47.34</v>
      </c>
    </row>
    <row r="26" spans="1:7" s="2" customFormat="1" x14ac:dyDescent="0.25">
      <c r="A26" s="22">
        <v>25</v>
      </c>
      <c r="B26" s="365" t="s">
        <v>280</v>
      </c>
      <c r="C26" s="366">
        <v>2</v>
      </c>
      <c r="D26" s="367">
        <v>48.41</v>
      </c>
      <c r="E26" s="368"/>
      <c r="F26" s="368">
        <f t="shared" si="0"/>
        <v>1.6401307999999999</v>
      </c>
      <c r="G26" s="431">
        <v>31.59</v>
      </c>
    </row>
    <row r="27" spans="1:7" s="2" customFormat="1" x14ac:dyDescent="0.25">
      <c r="A27" s="21">
        <v>26</v>
      </c>
      <c r="B27" s="365" t="s">
        <v>281</v>
      </c>
      <c r="C27" s="366">
        <v>1</v>
      </c>
      <c r="D27" s="367">
        <v>32.1</v>
      </c>
      <c r="E27" s="368"/>
      <c r="F27" s="368">
        <f t="shared" si="0"/>
        <v>1.087548</v>
      </c>
      <c r="G27" s="431">
        <v>20.11</v>
      </c>
    </row>
    <row r="28" spans="1:7" s="2" customFormat="1" x14ac:dyDescent="0.25">
      <c r="A28" s="21">
        <v>27</v>
      </c>
      <c r="B28" s="365" t="s">
        <v>282</v>
      </c>
      <c r="C28" s="366">
        <v>3</v>
      </c>
      <c r="D28" s="367">
        <v>59.72</v>
      </c>
      <c r="E28" s="368"/>
      <c r="F28" s="368">
        <f t="shared" si="0"/>
        <v>2.0233136000000003</v>
      </c>
      <c r="G28" s="431">
        <v>37.93</v>
      </c>
    </row>
    <row r="29" spans="1:7" s="2" customFormat="1" x14ac:dyDescent="0.25">
      <c r="A29" s="22">
        <v>28</v>
      </c>
      <c r="B29" s="369" t="s">
        <v>283</v>
      </c>
      <c r="C29" s="366">
        <v>4</v>
      </c>
      <c r="D29" s="367">
        <v>73.959999999999994</v>
      </c>
      <c r="E29" s="368"/>
      <c r="F29" s="368">
        <f t="shared" si="0"/>
        <v>2.5057647999999997</v>
      </c>
      <c r="G29" s="431">
        <v>50.69</v>
      </c>
    </row>
    <row r="30" spans="1:7" s="2" customFormat="1" x14ac:dyDescent="0.25">
      <c r="A30" s="21">
        <v>29</v>
      </c>
      <c r="B30" s="365" t="s">
        <v>284</v>
      </c>
      <c r="C30" s="366">
        <v>2</v>
      </c>
      <c r="D30" s="367">
        <v>48.22</v>
      </c>
      <c r="E30" s="368"/>
      <c r="F30" s="368">
        <f t="shared" si="0"/>
        <v>1.6336936</v>
      </c>
      <c r="G30" s="431">
        <v>29.45</v>
      </c>
    </row>
    <row r="31" spans="1:7" s="2" customFormat="1" x14ac:dyDescent="0.25">
      <c r="A31" s="21">
        <v>30</v>
      </c>
      <c r="B31" s="365" t="s">
        <v>285</v>
      </c>
      <c r="C31" s="366">
        <v>1</v>
      </c>
      <c r="D31" s="367">
        <v>33.86</v>
      </c>
      <c r="E31" s="368"/>
      <c r="F31" s="368">
        <f t="shared" si="0"/>
        <v>1.1471768</v>
      </c>
      <c r="G31" s="431">
        <v>22.54</v>
      </c>
    </row>
    <row r="32" spans="1:7" s="2" customFormat="1" x14ac:dyDescent="0.25">
      <c r="A32" s="22">
        <v>31</v>
      </c>
      <c r="B32" s="365" t="s">
        <v>286</v>
      </c>
      <c r="C32" s="366">
        <v>3</v>
      </c>
      <c r="D32" s="367">
        <v>59.69</v>
      </c>
      <c r="E32" s="368"/>
      <c r="F32" s="368">
        <f t="shared" si="0"/>
        <v>2.0222971999999997</v>
      </c>
      <c r="G32" s="431">
        <v>36.46</v>
      </c>
    </row>
    <row r="33" spans="1:7" s="2" customFormat="1" x14ac:dyDescent="0.25">
      <c r="A33" s="21">
        <v>32</v>
      </c>
      <c r="B33" s="365" t="s">
        <v>287</v>
      </c>
      <c r="C33" s="366">
        <v>4</v>
      </c>
      <c r="D33" s="367">
        <v>73.099999999999994</v>
      </c>
      <c r="E33" s="368"/>
      <c r="F33" s="368">
        <f t="shared" si="0"/>
        <v>2.4766279999999994</v>
      </c>
      <c r="G33" s="433">
        <v>53.4</v>
      </c>
    </row>
    <row r="34" spans="1:7" s="2" customFormat="1" x14ac:dyDescent="0.25">
      <c r="A34" s="21">
        <v>33</v>
      </c>
      <c r="B34" s="365" t="s">
        <v>288</v>
      </c>
      <c r="C34" s="366">
        <v>2</v>
      </c>
      <c r="D34" s="367">
        <v>48.08</v>
      </c>
      <c r="E34" s="368"/>
      <c r="F34" s="368">
        <f t="shared" si="0"/>
        <v>1.6289503999999999</v>
      </c>
      <c r="G34" s="431">
        <v>33.08</v>
      </c>
    </row>
    <row r="35" spans="1:7" s="2" customFormat="1" x14ac:dyDescent="0.25">
      <c r="A35" s="22">
        <v>34</v>
      </c>
      <c r="B35" s="365" t="s">
        <v>289</v>
      </c>
      <c r="C35" s="366">
        <v>1</v>
      </c>
      <c r="D35" s="367">
        <v>33.78</v>
      </c>
      <c r="E35" s="368"/>
      <c r="F35" s="368">
        <f t="shared" si="0"/>
        <v>1.1444664</v>
      </c>
      <c r="G35" s="431">
        <v>22.49</v>
      </c>
    </row>
    <row r="36" spans="1:7" s="2" customFormat="1" x14ac:dyDescent="0.25">
      <c r="A36" s="21">
        <v>35</v>
      </c>
      <c r="B36" s="365" t="s">
        <v>290</v>
      </c>
      <c r="C36" s="366">
        <v>3</v>
      </c>
      <c r="D36" s="367">
        <v>59.86</v>
      </c>
      <c r="E36" s="368"/>
      <c r="F36" s="368">
        <f t="shared" si="0"/>
        <v>2.0280567999999999</v>
      </c>
      <c r="G36" s="431">
        <v>35.42</v>
      </c>
    </row>
    <row r="37" spans="1:7" s="2" customFormat="1" x14ac:dyDescent="0.25">
      <c r="A37" s="21">
        <v>36</v>
      </c>
      <c r="B37" s="369" t="s">
        <v>291</v>
      </c>
      <c r="C37" s="366">
        <v>4</v>
      </c>
      <c r="D37" s="367">
        <v>73.180000000000007</v>
      </c>
      <c r="E37" s="368"/>
      <c r="F37" s="368">
        <f t="shared" si="0"/>
        <v>2.4793384000000001</v>
      </c>
      <c r="G37" s="431">
        <v>50.26</v>
      </c>
    </row>
    <row r="38" spans="1:7" s="2" customFormat="1" x14ac:dyDescent="0.25">
      <c r="A38" s="22">
        <v>37</v>
      </c>
      <c r="B38" s="365" t="s">
        <v>292</v>
      </c>
      <c r="C38" s="366">
        <v>2</v>
      </c>
      <c r="D38" s="367">
        <v>47.9</v>
      </c>
      <c r="E38" s="368"/>
      <c r="F38" s="368">
        <f t="shared" si="0"/>
        <v>1.622852</v>
      </c>
      <c r="G38" s="431">
        <v>30.73</v>
      </c>
    </row>
    <row r="39" spans="1:7" s="2" customFormat="1" x14ac:dyDescent="0.25">
      <c r="A39" s="21">
        <v>38</v>
      </c>
      <c r="B39" s="250" t="s">
        <v>293</v>
      </c>
      <c r="C39" s="251">
        <v>3</v>
      </c>
      <c r="D39" s="252">
        <v>69.3</v>
      </c>
      <c r="E39" s="253">
        <f t="shared" ref="E39:E49" si="1">D39*0.051*1.21</f>
        <v>4.2765029999999991</v>
      </c>
      <c r="F39" s="253">
        <f t="shared" si="0"/>
        <v>2.3478839999999996</v>
      </c>
      <c r="G39" s="432"/>
    </row>
    <row r="40" spans="1:7" s="2" customFormat="1" x14ac:dyDescent="0.25">
      <c r="A40" s="21">
        <v>39</v>
      </c>
      <c r="B40" s="250" t="s">
        <v>294</v>
      </c>
      <c r="C40" s="251">
        <v>2</v>
      </c>
      <c r="D40" s="252">
        <v>35.49</v>
      </c>
      <c r="E40" s="253">
        <f t="shared" si="1"/>
        <v>2.1900879</v>
      </c>
      <c r="F40" s="253">
        <f t="shared" si="0"/>
        <v>1.2024011999999999</v>
      </c>
      <c r="G40" s="432"/>
    </row>
    <row r="41" spans="1:7" s="2" customFormat="1" x14ac:dyDescent="0.25">
      <c r="A41" s="22">
        <v>40</v>
      </c>
      <c r="B41" s="250" t="s">
        <v>1118</v>
      </c>
      <c r="C41" s="251"/>
      <c r="D41" s="252"/>
      <c r="E41" s="253"/>
      <c r="F41" s="253"/>
      <c r="G41" s="432"/>
    </row>
    <row r="42" spans="1:7" s="2" customFormat="1" x14ac:dyDescent="0.25">
      <c r="A42" s="21">
        <v>41</v>
      </c>
      <c r="B42" s="250" t="s">
        <v>1118</v>
      </c>
      <c r="C42" s="251"/>
      <c r="D42" s="252"/>
      <c r="E42" s="253"/>
      <c r="F42" s="253"/>
      <c r="G42" s="432"/>
    </row>
    <row r="43" spans="1:7" s="2" customFormat="1" x14ac:dyDescent="0.25">
      <c r="A43" s="21">
        <v>42</v>
      </c>
      <c r="B43" s="250" t="s">
        <v>1118</v>
      </c>
      <c r="C43" s="251"/>
      <c r="D43" s="252"/>
      <c r="E43" s="253"/>
      <c r="F43" s="253"/>
      <c r="G43" s="432"/>
    </row>
    <row r="44" spans="1:7" s="2" customFormat="1" x14ac:dyDescent="0.25">
      <c r="A44" s="22">
        <v>43</v>
      </c>
      <c r="B44" s="250" t="s">
        <v>1118</v>
      </c>
      <c r="C44" s="251"/>
      <c r="D44" s="252"/>
      <c r="E44" s="253"/>
      <c r="F44" s="253"/>
      <c r="G44" s="432"/>
    </row>
    <row r="45" spans="1:7" s="2" customFormat="1" x14ac:dyDescent="0.25">
      <c r="A45" s="21">
        <v>44</v>
      </c>
      <c r="B45" s="250" t="s">
        <v>1118</v>
      </c>
      <c r="C45" s="251"/>
      <c r="D45" s="252"/>
      <c r="E45" s="253"/>
      <c r="F45" s="253"/>
      <c r="G45" s="432"/>
    </row>
    <row r="46" spans="1:7" s="2" customFormat="1" x14ac:dyDescent="0.25">
      <c r="A46" s="21">
        <v>45</v>
      </c>
      <c r="B46" s="250" t="s">
        <v>295</v>
      </c>
      <c r="C46" s="251">
        <v>2</v>
      </c>
      <c r="D46" s="252">
        <v>50.04</v>
      </c>
      <c r="E46" s="253">
        <f t="shared" si="1"/>
        <v>3.0879683999999998</v>
      </c>
      <c r="F46" s="253">
        <f t="shared" si="0"/>
        <v>1.6953551999999998</v>
      </c>
      <c r="G46" s="432"/>
    </row>
    <row r="47" spans="1:7" s="2" customFormat="1" x14ac:dyDescent="0.25">
      <c r="A47" s="22">
        <v>46</v>
      </c>
      <c r="B47" s="250" t="s">
        <v>296</v>
      </c>
      <c r="C47" s="251">
        <v>2</v>
      </c>
      <c r="D47" s="252">
        <v>49.25</v>
      </c>
      <c r="E47" s="253">
        <f t="shared" si="1"/>
        <v>3.0392174999999995</v>
      </c>
      <c r="F47" s="253">
        <f t="shared" si="0"/>
        <v>1.66859</v>
      </c>
      <c r="G47" s="432"/>
    </row>
    <row r="48" spans="1:7" s="2" customFormat="1" x14ac:dyDescent="0.25">
      <c r="A48" s="21">
        <v>47</v>
      </c>
      <c r="B48" s="250" t="s">
        <v>297</v>
      </c>
      <c r="C48" s="251">
        <v>1</v>
      </c>
      <c r="D48" s="252">
        <v>28.18</v>
      </c>
      <c r="E48" s="253">
        <f t="shared" si="1"/>
        <v>1.7389877999999999</v>
      </c>
      <c r="F48" s="253">
        <f t="shared" si="0"/>
        <v>0.95473839999999988</v>
      </c>
      <c r="G48" s="432"/>
    </row>
    <row r="49" spans="1:7" s="2" customFormat="1" x14ac:dyDescent="0.25">
      <c r="A49" s="21">
        <v>48</v>
      </c>
      <c r="B49" s="250" t="s">
        <v>298</v>
      </c>
      <c r="C49" s="251">
        <v>1</v>
      </c>
      <c r="D49" s="252">
        <v>28.06</v>
      </c>
      <c r="E49" s="253">
        <f t="shared" si="1"/>
        <v>1.7315825999999996</v>
      </c>
      <c r="F49" s="253">
        <f t="shared" si="0"/>
        <v>0.95067279999999987</v>
      </c>
      <c r="G49" s="432"/>
    </row>
    <row r="50" spans="1:7" s="2" customFormat="1" x14ac:dyDescent="0.25">
      <c r="A50" s="22">
        <v>49</v>
      </c>
      <c r="B50" s="365" t="s">
        <v>299</v>
      </c>
      <c r="C50" s="366">
        <v>2</v>
      </c>
      <c r="D50" s="367">
        <v>49.49</v>
      </c>
      <c r="E50" s="368"/>
      <c r="F50" s="368">
        <f t="shared" si="0"/>
        <v>1.6767212</v>
      </c>
      <c r="G50" s="431">
        <v>33.24</v>
      </c>
    </row>
    <row r="51" spans="1:7" s="2" customFormat="1" x14ac:dyDescent="0.25">
      <c r="A51" s="21">
        <v>50</v>
      </c>
      <c r="B51" s="365" t="s">
        <v>300</v>
      </c>
      <c r="C51" s="366">
        <v>2</v>
      </c>
      <c r="D51" s="367">
        <v>49.14</v>
      </c>
      <c r="E51" s="368"/>
      <c r="F51" s="368">
        <f t="shared" si="0"/>
        <v>1.6648632000000001</v>
      </c>
      <c r="G51" s="431">
        <v>33.14</v>
      </c>
    </row>
    <row r="52" spans="1:7" s="2" customFormat="1" x14ac:dyDescent="0.25">
      <c r="A52" s="21">
        <v>51</v>
      </c>
      <c r="B52" s="365" t="s">
        <v>301</v>
      </c>
      <c r="C52" s="366">
        <v>2</v>
      </c>
      <c r="D52" s="367">
        <v>50.04</v>
      </c>
      <c r="E52" s="368"/>
      <c r="F52" s="368">
        <f t="shared" si="0"/>
        <v>1.6953551999999998</v>
      </c>
      <c r="G52" s="431">
        <v>33.729999999999997</v>
      </c>
    </row>
    <row r="53" spans="1:7" s="2" customFormat="1" x14ac:dyDescent="0.25">
      <c r="A53" s="22">
        <v>52</v>
      </c>
      <c r="B53" s="365" t="s">
        <v>302</v>
      </c>
      <c r="C53" s="366">
        <v>3</v>
      </c>
      <c r="D53" s="367">
        <v>65.37</v>
      </c>
      <c r="E53" s="368"/>
      <c r="F53" s="368">
        <f t="shared" si="0"/>
        <v>2.2147356</v>
      </c>
      <c r="G53" s="431">
        <v>43.65</v>
      </c>
    </row>
    <row r="54" spans="1:7" s="2" customFormat="1" x14ac:dyDescent="0.25">
      <c r="A54" s="21">
        <v>53</v>
      </c>
      <c r="B54" s="365" t="s">
        <v>303</v>
      </c>
      <c r="C54" s="366">
        <v>2</v>
      </c>
      <c r="D54" s="367">
        <v>49.55</v>
      </c>
      <c r="E54" s="368"/>
      <c r="F54" s="368">
        <f t="shared" si="0"/>
        <v>1.6787539999999999</v>
      </c>
      <c r="G54" s="431">
        <v>24.43</v>
      </c>
    </row>
    <row r="55" spans="1:7" s="2" customFormat="1" x14ac:dyDescent="0.25">
      <c r="A55" s="21">
        <v>54</v>
      </c>
      <c r="B55" s="250" t="s">
        <v>304</v>
      </c>
      <c r="C55" s="251">
        <v>1</v>
      </c>
      <c r="D55" s="252">
        <v>36.14</v>
      </c>
      <c r="E55" s="253">
        <f t="shared" ref="E55:E65" si="2">D55*0.051*1.21</f>
        <v>2.2301994000000001</v>
      </c>
      <c r="F55" s="253">
        <f t="shared" si="0"/>
        <v>1.2244231999999999</v>
      </c>
      <c r="G55" s="432"/>
    </row>
    <row r="56" spans="1:7" x14ac:dyDescent="0.25">
      <c r="A56" s="22">
        <v>55</v>
      </c>
      <c r="B56" s="250" t="s">
        <v>305</v>
      </c>
      <c r="C56" s="251">
        <v>2</v>
      </c>
      <c r="D56" s="252">
        <v>50.39</v>
      </c>
      <c r="E56" s="253">
        <f t="shared" si="2"/>
        <v>3.1095668999999999</v>
      </c>
      <c r="F56" s="253">
        <f t="shared" si="0"/>
        <v>1.7072132</v>
      </c>
      <c r="G56" s="432"/>
    </row>
    <row r="57" spans="1:7" x14ac:dyDescent="0.25">
      <c r="A57" s="21">
        <v>56</v>
      </c>
      <c r="B57" s="254" t="s">
        <v>306</v>
      </c>
      <c r="C57" s="251">
        <v>2</v>
      </c>
      <c r="D57" s="252">
        <v>50.28</v>
      </c>
      <c r="E57" s="253">
        <f t="shared" si="2"/>
        <v>3.1027787999999998</v>
      </c>
      <c r="F57" s="253">
        <f t="shared" si="0"/>
        <v>1.7034863999999998</v>
      </c>
      <c r="G57" s="432"/>
    </row>
    <row r="58" spans="1:7" x14ac:dyDescent="0.25">
      <c r="A58" s="21">
        <v>57</v>
      </c>
      <c r="B58" s="250" t="s">
        <v>307</v>
      </c>
      <c r="C58" s="251">
        <v>1</v>
      </c>
      <c r="D58" s="252">
        <v>36.159999999999997</v>
      </c>
      <c r="E58" s="253">
        <f t="shared" si="2"/>
        <v>2.2314335999999999</v>
      </c>
      <c r="F58" s="253">
        <f t="shared" si="0"/>
        <v>1.2251007999999997</v>
      </c>
      <c r="G58" s="432"/>
    </row>
    <row r="59" spans="1:7" x14ac:dyDescent="0.25">
      <c r="A59" s="22">
        <v>58</v>
      </c>
      <c r="B59" s="365" t="s">
        <v>308</v>
      </c>
      <c r="C59" s="366">
        <v>1</v>
      </c>
      <c r="D59" s="367">
        <v>23.75</v>
      </c>
      <c r="E59" s="368"/>
      <c r="F59" s="368">
        <f t="shared" si="0"/>
        <v>0.80464999999999998</v>
      </c>
      <c r="G59" s="431">
        <v>13.53</v>
      </c>
    </row>
    <row r="60" spans="1:7" x14ac:dyDescent="0.25">
      <c r="A60" s="21">
        <v>59</v>
      </c>
      <c r="B60" s="365" t="s">
        <v>309</v>
      </c>
      <c r="C60" s="366">
        <v>1</v>
      </c>
      <c r="D60" s="367">
        <v>28.73</v>
      </c>
      <c r="E60" s="368"/>
      <c r="F60" s="368">
        <f t="shared" si="0"/>
        <v>0.97337240000000003</v>
      </c>
      <c r="G60" s="433">
        <v>18.8</v>
      </c>
    </row>
    <row r="61" spans="1:7" s="2" customFormat="1" x14ac:dyDescent="0.25">
      <c r="A61" s="21">
        <v>60</v>
      </c>
      <c r="B61" s="250" t="s">
        <v>1143</v>
      </c>
      <c r="C61" s="251">
        <v>2</v>
      </c>
      <c r="D61" s="252">
        <v>47.29</v>
      </c>
      <c r="E61" s="368"/>
      <c r="F61" s="368"/>
      <c r="G61" s="433"/>
    </row>
    <row r="62" spans="1:7" s="2" customFormat="1" x14ac:dyDescent="0.25">
      <c r="A62" s="21">
        <v>61</v>
      </c>
      <c r="B62" s="250" t="s">
        <v>1144</v>
      </c>
      <c r="C62" s="251">
        <v>2</v>
      </c>
      <c r="D62" s="252">
        <v>43.98</v>
      </c>
      <c r="E62" s="368"/>
      <c r="F62" s="368"/>
      <c r="G62" s="433"/>
    </row>
    <row r="63" spans="1:7" s="2" customFormat="1" x14ac:dyDescent="0.25">
      <c r="A63" s="21">
        <v>62</v>
      </c>
      <c r="B63" s="250" t="s">
        <v>1145</v>
      </c>
      <c r="C63" s="251">
        <v>2</v>
      </c>
      <c r="D63" s="252">
        <v>43.98</v>
      </c>
      <c r="E63" s="368"/>
      <c r="F63" s="368"/>
      <c r="G63" s="433"/>
    </row>
    <row r="64" spans="1:7" x14ac:dyDescent="0.25">
      <c r="A64" s="21">
        <v>63</v>
      </c>
      <c r="B64" s="255" t="s">
        <v>310</v>
      </c>
      <c r="C64" s="251">
        <v>2</v>
      </c>
      <c r="D64" s="252">
        <v>50.43</v>
      </c>
      <c r="E64" s="253">
        <f t="shared" si="2"/>
        <v>3.1120352999999996</v>
      </c>
      <c r="F64" s="253">
        <f t="shared" si="0"/>
        <v>1.7085683999999999</v>
      </c>
      <c r="G64" s="432"/>
    </row>
    <row r="65" spans="1:7" x14ac:dyDescent="0.25">
      <c r="A65" s="22">
        <v>64</v>
      </c>
      <c r="B65" s="255" t="s">
        <v>311</v>
      </c>
      <c r="C65" s="251">
        <v>1</v>
      </c>
      <c r="D65" s="252">
        <v>36.29</v>
      </c>
      <c r="E65" s="253">
        <f t="shared" si="2"/>
        <v>2.2394558999999998</v>
      </c>
      <c r="F65" s="253">
        <f t="shared" si="0"/>
        <v>1.2295052</v>
      </c>
      <c r="G65" s="432"/>
    </row>
    <row r="66" spans="1:7" s="2" customFormat="1" x14ac:dyDescent="0.25">
      <c r="A66" s="21">
        <v>65</v>
      </c>
      <c r="B66" s="250" t="s">
        <v>1146</v>
      </c>
      <c r="C66" s="251">
        <v>2</v>
      </c>
      <c r="D66" s="252">
        <v>43.98</v>
      </c>
      <c r="E66" s="253"/>
      <c r="F66" s="253"/>
      <c r="G66" s="432"/>
    </row>
    <row r="67" spans="1:7" s="2" customFormat="1" x14ac:dyDescent="0.25">
      <c r="A67" s="21">
        <v>66</v>
      </c>
      <c r="B67" s="250" t="s">
        <v>1147</v>
      </c>
      <c r="C67" s="251">
        <v>2</v>
      </c>
      <c r="D67" s="252">
        <v>43.98</v>
      </c>
      <c r="E67" s="253"/>
      <c r="F67" s="253"/>
      <c r="G67" s="432"/>
    </row>
    <row r="68" spans="1:7" x14ac:dyDescent="0.25">
      <c r="A68" s="21">
        <v>67</v>
      </c>
      <c r="B68" s="370" t="s">
        <v>312</v>
      </c>
      <c r="C68" s="366">
        <v>1</v>
      </c>
      <c r="D68" s="367">
        <v>28.06</v>
      </c>
      <c r="E68" s="368"/>
      <c r="F68" s="368">
        <f t="shared" si="0"/>
        <v>0.95067279999999987</v>
      </c>
      <c r="G68" s="431">
        <v>20.39</v>
      </c>
    </row>
    <row r="69" spans="1:7" x14ac:dyDescent="0.25">
      <c r="A69" s="21">
        <v>68</v>
      </c>
      <c r="B69" s="370" t="s">
        <v>313</v>
      </c>
      <c r="C69" s="366">
        <v>2</v>
      </c>
      <c r="D69" s="367">
        <v>36.79</v>
      </c>
      <c r="E69" s="368"/>
      <c r="F69" s="368">
        <f t="shared" si="0"/>
        <v>1.2464451999999999</v>
      </c>
      <c r="G69" s="431">
        <v>19.34</v>
      </c>
    </row>
    <row r="70" spans="1:7" x14ac:dyDescent="0.25">
      <c r="A70" s="22">
        <v>69</v>
      </c>
      <c r="B70" s="365" t="s">
        <v>314</v>
      </c>
      <c r="C70" s="366">
        <v>1</v>
      </c>
      <c r="D70" s="367">
        <v>28.04</v>
      </c>
      <c r="E70" s="368"/>
      <c r="F70" s="368">
        <f t="shared" si="0"/>
        <v>0.94999520000000004</v>
      </c>
      <c r="G70" s="431">
        <v>15.76</v>
      </c>
    </row>
    <row r="71" spans="1:7" x14ac:dyDescent="0.25">
      <c r="A71" s="21">
        <v>70</v>
      </c>
      <c r="B71" s="365" t="s">
        <v>315</v>
      </c>
      <c r="C71" s="366">
        <v>2</v>
      </c>
      <c r="D71" s="367">
        <v>37.450000000000003</v>
      </c>
      <c r="E71" s="368"/>
      <c r="F71" s="368">
        <f t="shared" si="0"/>
        <v>1.2688060000000001</v>
      </c>
      <c r="G71" s="431">
        <v>15.49</v>
      </c>
    </row>
    <row r="72" spans="1:7" x14ac:dyDescent="0.25">
      <c r="A72" s="21">
        <v>71</v>
      </c>
      <c r="B72" s="365" t="s">
        <v>316</v>
      </c>
      <c r="C72" s="366">
        <v>2</v>
      </c>
      <c r="D72" s="367">
        <v>37.08</v>
      </c>
      <c r="E72" s="368"/>
      <c r="F72" s="368">
        <f t="shared" si="0"/>
        <v>1.2562704</v>
      </c>
      <c r="G72" s="431">
        <v>15.34</v>
      </c>
    </row>
    <row r="73" spans="1:7" x14ac:dyDescent="0.25">
      <c r="A73" s="22">
        <v>72</v>
      </c>
      <c r="B73" s="365" t="s">
        <v>317</v>
      </c>
      <c r="C73" s="366">
        <v>2</v>
      </c>
      <c r="D73" s="367">
        <v>36.97</v>
      </c>
      <c r="E73" s="368"/>
      <c r="F73" s="368">
        <f t="shared" si="0"/>
        <v>1.2525436000000001</v>
      </c>
      <c r="G73" s="431">
        <v>16.45</v>
      </c>
    </row>
    <row r="74" spans="1:7" s="2" customFormat="1" x14ac:dyDescent="0.25">
      <c r="A74" s="21">
        <v>73</v>
      </c>
      <c r="B74" s="255" t="s">
        <v>318</v>
      </c>
      <c r="C74" s="251">
        <v>1</v>
      </c>
      <c r="D74" s="252">
        <v>30.09</v>
      </c>
      <c r="E74" s="253">
        <f t="shared" ref="E74:E85" si="3">D74*0.051*1.21</f>
        <v>1.8568538999999997</v>
      </c>
      <c r="F74" s="253">
        <f t="shared" si="0"/>
        <v>1.0194491999999999</v>
      </c>
      <c r="G74" s="432"/>
    </row>
    <row r="75" spans="1:7" s="2" customFormat="1" x14ac:dyDescent="0.25">
      <c r="A75" s="21">
        <v>74</v>
      </c>
      <c r="B75" s="255" t="s">
        <v>319</v>
      </c>
      <c r="C75" s="251">
        <v>1</v>
      </c>
      <c r="D75" s="252">
        <v>30.09</v>
      </c>
      <c r="E75" s="253">
        <f t="shared" si="3"/>
        <v>1.8568538999999997</v>
      </c>
      <c r="F75" s="253">
        <f t="shared" si="0"/>
        <v>1.0194491999999999</v>
      </c>
      <c r="G75" s="432"/>
    </row>
    <row r="76" spans="1:7" s="2" customFormat="1" x14ac:dyDescent="0.25">
      <c r="A76" s="22">
        <v>75</v>
      </c>
      <c r="B76" s="255" t="s">
        <v>320</v>
      </c>
      <c r="C76" s="251">
        <v>2</v>
      </c>
      <c r="D76" s="252">
        <v>43.98</v>
      </c>
      <c r="E76" s="253">
        <f t="shared" si="3"/>
        <v>2.7140057999999998</v>
      </c>
      <c r="F76" s="253">
        <f t="shared" si="0"/>
        <v>1.4900423999999999</v>
      </c>
      <c r="G76" s="432"/>
    </row>
    <row r="77" spans="1:7" s="2" customFormat="1" x14ac:dyDescent="0.25">
      <c r="A77" s="21">
        <v>76</v>
      </c>
      <c r="B77" s="255" t="s">
        <v>321</v>
      </c>
      <c r="C77" s="251">
        <v>2</v>
      </c>
      <c r="D77" s="252">
        <v>43.98</v>
      </c>
      <c r="E77" s="253">
        <f t="shared" si="3"/>
        <v>2.7140057999999998</v>
      </c>
      <c r="F77" s="253">
        <f t="shared" si="0"/>
        <v>1.4900423999999999</v>
      </c>
      <c r="G77" s="432"/>
    </row>
    <row r="78" spans="1:7" s="2" customFormat="1" x14ac:dyDescent="0.25">
      <c r="A78" s="21">
        <v>77</v>
      </c>
      <c r="B78" s="250" t="s">
        <v>322</v>
      </c>
      <c r="C78" s="251">
        <v>1</v>
      </c>
      <c r="D78" s="252">
        <v>30.09</v>
      </c>
      <c r="E78" s="253">
        <f t="shared" si="3"/>
        <v>1.8568538999999997</v>
      </c>
      <c r="F78" s="253">
        <f t="shared" ref="F78:F135" si="4">D78*0.028*1.21</f>
        <v>1.0194491999999999</v>
      </c>
      <c r="G78" s="432"/>
    </row>
    <row r="79" spans="1:7" x14ac:dyDescent="0.25">
      <c r="A79" s="22">
        <v>78</v>
      </c>
      <c r="B79" s="250" t="s">
        <v>323</v>
      </c>
      <c r="C79" s="251">
        <v>2</v>
      </c>
      <c r="D79" s="252">
        <v>43.98</v>
      </c>
      <c r="E79" s="253">
        <f t="shared" si="3"/>
        <v>2.7140057999999998</v>
      </c>
      <c r="F79" s="253">
        <f t="shared" si="4"/>
        <v>1.4900423999999999</v>
      </c>
      <c r="G79" s="432"/>
    </row>
    <row r="80" spans="1:7" s="2" customFormat="1" x14ac:dyDescent="0.25">
      <c r="A80" s="21">
        <v>79</v>
      </c>
      <c r="B80" s="250" t="s">
        <v>324</v>
      </c>
      <c r="C80" s="251">
        <v>2</v>
      </c>
      <c r="D80" s="252">
        <v>43.98</v>
      </c>
      <c r="E80" s="253">
        <f t="shared" si="3"/>
        <v>2.7140057999999998</v>
      </c>
      <c r="F80" s="253">
        <f t="shared" si="4"/>
        <v>1.4900423999999999</v>
      </c>
      <c r="G80" s="432"/>
    </row>
    <row r="81" spans="1:7" s="2" customFormat="1" x14ac:dyDescent="0.25">
      <c r="A81" s="21">
        <v>80</v>
      </c>
      <c r="B81" s="255" t="s">
        <v>325</v>
      </c>
      <c r="C81" s="251">
        <v>3</v>
      </c>
      <c r="D81" s="252">
        <v>60.87</v>
      </c>
      <c r="E81" s="253">
        <f t="shared" si="3"/>
        <v>3.7562876999999997</v>
      </c>
      <c r="F81" s="253">
        <f t="shared" si="4"/>
        <v>2.0622756</v>
      </c>
      <c r="G81" s="432"/>
    </row>
    <row r="82" spans="1:7" s="2" customFormat="1" x14ac:dyDescent="0.25">
      <c r="A82" s="21">
        <v>81</v>
      </c>
      <c r="B82" s="250" t="s">
        <v>1148</v>
      </c>
      <c r="C82" s="251">
        <v>2</v>
      </c>
      <c r="D82" s="252">
        <v>43.98</v>
      </c>
      <c r="E82" s="253"/>
      <c r="F82" s="253"/>
      <c r="G82" s="432"/>
    </row>
    <row r="83" spans="1:7" s="2" customFormat="1" x14ac:dyDescent="0.25">
      <c r="A83" s="21">
        <v>82</v>
      </c>
      <c r="B83" s="250" t="s">
        <v>1152</v>
      </c>
      <c r="C83" s="251">
        <v>2</v>
      </c>
      <c r="D83" s="252">
        <v>43.98</v>
      </c>
      <c r="E83" s="253"/>
      <c r="F83" s="253"/>
      <c r="G83" s="432"/>
    </row>
    <row r="84" spans="1:7" s="2" customFormat="1" x14ac:dyDescent="0.25">
      <c r="A84" s="22">
        <v>83</v>
      </c>
      <c r="B84" s="255" t="s">
        <v>326</v>
      </c>
      <c r="C84" s="251">
        <v>2</v>
      </c>
      <c r="D84" s="252">
        <v>47.29</v>
      </c>
      <c r="E84" s="253">
        <f t="shared" si="3"/>
        <v>2.9182658999999997</v>
      </c>
      <c r="F84" s="253">
        <f t="shared" si="4"/>
        <v>1.6021851999999999</v>
      </c>
      <c r="G84" s="432"/>
    </row>
    <row r="85" spans="1:7" x14ac:dyDescent="0.25">
      <c r="A85" s="21">
        <v>84</v>
      </c>
      <c r="B85" s="255" t="s">
        <v>327</v>
      </c>
      <c r="C85" s="251">
        <v>2</v>
      </c>
      <c r="D85" s="252">
        <v>47.29</v>
      </c>
      <c r="E85" s="253">
        <f t="shared" si="3"/>
        <v>2.9182658999999997</v>
      </c>
      <c r="F85" s="253">
        <f t="shared" si="4"/>
        <v>1.6021851999999999</v>
      </c>
      <c r="G85" s="432"/>
    </row>
    <row r="86" spans="1:7" s="2" customFormat="1" x14ac:dyDescent="0.25">
      <c r="A86" s="21">
        <v>85</v>
      </c>
      <c r="B86" s="250" t="s">
        <v>1149</v>
      </c>
      <c r="C86" s="251">
        <v>1</v>
      </c>
      <c r="D86" s="252">
        <v>30.09</v>
      </c>
      <c r="E86" s="253"/>
      <c r="F86" s="253"/>
      <c r="G86" s="432"/>
    </row>
    <row r="87" spans="1:7" s="2" customFormat="1" x14ac:dyDescent="0.25">
      <c r="A87" s="21">
        <v>86</v>
      </c>
      <c r="B87" s="250" t="s">
        <v>1150</v>
      </c>
      <c r="C87" s="251">
        <v>2</v>
      </c>
      <c r="D87" s="252">
        <v>43.94</v>
      </c>
      <c r="E87" s="253"/>
      <c r="F87" s="253"/>
      <c r="G87" s="432"/>
    </row>
    <row r="88" spans="1:7" s="2" customFormat="1" x14ac:dyDescent="0.25">
      <c r="A88" s="21">
        <v>87</v>
      </c>
      <c r="B88" s="250" t="s">
        <v>1151</v>
      </c>
      <c r="C88" s="251">
        <v>2</v>
      </c>
      <c r="D88" s="252">
        <v>43.86</v>
      </c>
      <c r="E88" s="253"/>
      <c r="F88" s="253"/>
      <c r="G88" s="432"/>
    </row>
    <row r="89" spans="1:7" x14ac:dyDescent="0.25">
      <c r="A89" s="21">
        <v>88</v>
      </c>
      <c r="B89" s="365" t="s">
        <v>328</v>
      </c>
      <c r="C89" s="366">
        <v>2</v>
      </c>
      <c r="D89" s="367">
        <v>43.98</v>
      </c>
      <c r="E89" s="368"/>
      <c r="F89" s="368">
        <f t="shared" si="4"/>
        <v>1.4900423999999999</v>
      </c>
      <c r="G89" s="431">
        <v>24.69</v>
      </c>
    </row>
    <row r="90" spans="1:7" s="2" customFormat="1" x14ac:dyDescent="0.25">
      <c r="A90" s="22">
        <v>89</v>
      </c>
      <c r="B90" s="365" t="s">
        <v>329</v>
      </c>
      <c r="C90" s="366">
        <v>2</v>
      </c>
      <c r="D90" s="367">
        <v>43.94</v>
      </c>
      <c r="E90" s="368"/>
      <c r="F90" s="368">
        <f t="shared" si="4"/>
        <v>1.4886871999999998</v>
      </c>
      <c r="G90" s="431">
        <v>20.149999999999999</v>
      </c>
    </row>
    <row r="91" spans="1:7" s="2" customFormat="1" x14ac:dyDescent="0.25">
      <c r="A91" s="21">
        <v>90</v>
      </c>
      <c r="B91" s="365" t="s">
        <v>330</v>
      </c>
      <c r="C91" s="366">
        <v>2</v>
      </c>
      <c r="D91" s="367">
        <v>43.86</v>
      </c>
      <c r="E91" s="368"/>
      <c r="F91" s="368">
        <f t="shared" si="4"/>
        <v>1.4859768</v>
      </c>
      <c r="G91" s="431">
        <v>21.82</v>
      </c>
    </row>
    <row r="92" spans="1:7" s="2" customFormat="1" x14ac:dyDescent="0.25">
      <c r="A92" s="21">
        <v>91</v>
      </c>
      <c r="B92" s="365" t="s">
        <v>331</v>
      </c>
      <c r="C92" s="366">
        <v>2</v>
      </c>
      <c r="D92" s="367">
        <v>43.98</v>
      </c>
      <c r="E92" s="368"/>
      <c r="F92" s="368">
        <f t="shared" si="4"/>
        <v>1.4900423999999999</v>
      </c>
      <c r="G92" s="431">
        <v>20.56</v>
      </c>
    </row>
    <row r="93" spans="1:7" x14ac:dyDescent="0.25">
      <c r="A93" s="22">
        <v>92</v>
      </c>
      <c r="B93" s="250" t="s">
        <v>332</v>
      </c>
      <c r="C93" s="251">
        <v>1</v>
      </c>
      <c r="D93" s="252">
        <v>30.09</v>
      </c>
      <c r="E93" s="253">
        <f t="shared" ref="E93:E145" si="5">D93*0.051*1.21</f>
        <v>1.8568538999999997</v>
      </c>
      <c r="F93" s="253">
        <f t="shared" si="4"/>
        <v>1.0194491999999999</v>
      </c>
      <c r="G93" s="432"/>
    </row>
    <row r="94" spans="1:7" s="2" customFormat="1" x14ac:dyDescent="0.25">
      <c r="A94" s="21">
        <v>93</v>
      </c>
      <c r="B94" s="250" t="s">
        <v>333</v>
      </c>
      <c r="C94" s="251">
        <v>1</v>
      </c>
      <c r="D94" s="252">
        <v>30.09</v>
      </c>
      <c r="E94" s="253">
        <f t="shared" si="5"/>
        <v>1.8568538999999997</v>
      </c>
      <c r="F94" s="253">
        <f t="shared" si="4"/>
        <v>1.0194491999999999</v>
      </c>
      <c r="G94" s="432"/>
    </row>
    <row r="95" spans="1:7" s="2" customFormat="1" x14ac:dyDescent="0.25">
      <c r="A95" s="21">
        <v>94</v>
      </c>
      <c r="B95" s="250" t="s">
        <v>334</v>
      </c>
      <c r="C95" s="251">
        <v>1</v>
      </c>
      <c r="D95" s="252">
        <v>30.09</v>
      </c>
      <c r="E95" s="253">
        <f t="shared" si="5"/>
        <v>1.8568538999999997</v>
      </c>
      <c r="F95" s="253">
        <f t="shared" si="4"/>
        <v>1.0194491999999999</v>
      </c>
      <c r="G95" s="432"/>
    </row>
    <row r="96" spans="1:7" s="2" customFormat="1" x14ac:dyDescent="0.25">
      <c r="A96" s="22">
        <v>95</v>
      </c>
      <c r="B96" s="255" t="s">
        <v>335</v>
      </c>
      <c r="C96" s="251">
        <v>2</v>
      </c>
      <c r="D96" s="252">
        <v>49.63</v>
      </c>
      <c r="E96" s="253">
        <f t="shared" si="5"/>
        <v>3.0626673000000002</v>
      </c>
      <c r="F96" s="253">
        <f t="shared" si="4"/>
        <v>1.6814644000000003</v>
      </c>
      <c r="G96" s="432"/>
    </row>
    <row r="97" spans="1:7" s="2" customFormat="1" x14ac:dyDescent="0.25">
      <c r="A97" s="21">
        <v>96</v>
      </c>
      <c r="B97" s="365" t="s">
        <v>336</v>
      </c>
      <c r="C97" s="366">
        <v>3</v>
      </c>
      <c r="D97" s="372">
        <v>58.89</v>
      </c>
      <c r="E97" s="368"/>
      <c r="F97" s="368">
        <f t="shared" si="4"/>
        <v>1.9951931999999999</v>
      </c>
      <c r="G97" s="431">
        <v>35.32</v>
      </c>
    </row>
    <row r="98" spans="1:7" s="2" customFormat="1" x14ac:dyDescent="0.25">
      <c r="A98" s="21">
        <v>97</v>
      </c>
      <c r="B98" s="370" t="s">
        <v>337</v>
      </c>
      <c r="C98" s="366">
        <v>1</v>
      </c>
      <c r="D98" s="367">
        <v>27.63</v>
      </c>
      <c r="E98" s="368"/>
      <c r="F98" s="368">
        <f t="shared" si="4"/>
        <v>0.93610439999999995</v>
      </c>
      <c r="G98" s="431">
        <v>15.98</v>
      </c>
    </row>
    <row r="99" spans="1:7" s="2" customFormat="1" x14ac:dyDescent="0.25">
      <c r="A99" s="22">
        <v>98</v>
      </c>
      <c r="B99" s="370" t="s">
        <v>338</v>
      </c>
      <c r="C99" s="366">
        <v>1</v>
      </c>
      <c r="D99" s="367">
        <v>27.71</v>
      </c>
      <c r="E99" s="368"/>
      <c r="F99" s="368">
        <f t="shared" si="4"/>
        <v>0.93881479999999995</v>
      </c>
      <c r="G99" s="431">
        <v>17.13</v>
      </c>
    </row>
    <row r="100" spans="1:7" x14ac:dyDescent="0.25">
      <c r="A100" s="21">
        <v>99</v>
      </c>
      <c r="B100" s="250" t="s">
        <v>339</v>
      </c>
      <c r="C100" s="251">
        <v>2</v>
      </c>
      <c r="D100" s="252">
        <v>50.36</v>
      </c>
      <c r="E100" s="253">
        <f t="shared" si="5"/>
        <v>3.1077155999999997</v>
      </c>
      <c r="F100" s="253">
        <f t="shared" si="4"/>
        <v>1.7061967999999998</v>
      </c>
      <c r="G100" s="432"/>
    </row>
    <row r="101" spans="1:7" s="2" customFormat="1" x14ac:dyDescent="0.25">
      <c r="A101" s="21">
        <v>100</v>
      </c>
      <c r="B101" s="250" t="s">
        <v>1115</v>
      </c>
      <c r="C101" s="251"/>
      <c r="D101" s="252"/>
      <c r="E101" s="253"/>
      <c r="F101" s="253"/>
      <c r="G101" s="432"/>
    </row>
    <row r="102" spans="1:7" s="2" customFormat="1" x14ac:dyDescent="0.25">
      <c r="A102" s="22">
        <v>101</v>
      </c>
      <c r="B102" s="250" t="s">
        <v>1115</v>
      </c>
      <c r="C102" s="251"/>
      <c r="D102" s="252"/>
      <c r="E102" s="253"/>
      <c r="F102" s="253"/>
      <c r="G102" s="432"/>
    </row>
    <row r="103" spans="1:7" s="2" customFormat="1" x14ac:dyDescent="0.25">
      <c r="A103" s="21">
        <v>102</v>
      </c>
      <c r="B103" s="250" t="s">
        <v>1115</v>
      </c>
      <c r="C103" s="251"/>
      <c r="D103" s="252"/>
      <c r="E103" s="253"/>
      <c r="F103" s="253"/>
      <c r="G103" s="432"/>
    </row>
    <row r="104" spans="1:7" x14ac:dyDescent="0.25">
      <c r="A104" s="21">
        <v>103</v>
      </c>
      <c r="B104" s="365" t="s">
        <v>340</v>
      </c>
      <c r="C104" s="366">
        <v>3</v>
      </c>
      <c r="D104" s="367">
        <v>64.89</v>
      </c>
      <c r="E104" s="368"/>
      <c r="F104" s="368">
        <f t="shared" si="4"/>
        <v>2.1984732</v>
      </c>
      <c r="G104" s="431">
        <v>37.92</v>
      </c>
    </row>
    <row r="105" spans="1:7" s="2" customFormat="1" x14ac:dyDescent="0.25">
      <c r="A105" s="22">
        <v>104</v>
      </c>
      <c r="B105" s="250" t="s">
        <v>1119</v>
      </c>
      <c r="C105" s="251"/>
      <c r="D105" s="252"/>
      <c r="E105" s="253"/>
      <c r="F105" s="253"/>
      <c r="G105" s="432"/>
    </row>
    <row r="106" spans="1:7" s="2" customFormat="1" x14ac:dyDescent="0.25">
      <c r="A106" s="21">
        <v>105</v>
      </c>
      <c r="B106" s="250" t="s">
        <v>1119</v>
      </c>
      <c r="C106" s="251"/>
      <c r="D106" s="252"/>
      <c r="E106" s="253"/>
      <c r="F106" s="253"/>
      <c r="G106" s="432"/>
    </row>
    <row r="107" spans="1:7" x14ac:dyDescent="0.25">
      <c r="A107" s="21">
        <v>106</v>
      </c>
      <c r="B107" s="365" t="s">
        <v>341</v>
      </c>
      <c r="C107" s="366">
        <v>3</v>
      </c>
      <c r="D107" s="367">
        <v>60.87</v>
      </c>
      <c r="E107" s="368"/>
      <c r="F107" s="368">
        <f t="shared" si="4"/>
        <v>2.0622756</v>
      </c>
      <c r="G107" s="431">
        <v>38.17</v>
      </c>
    </row>
    <row r="108" spans="1:7" x14ac:dyDescent="0.25">
      <c r="A108" s="22">
        <v>107</v>
      </c>
      <c r="B108" s="365" t="s">
        <v>342</v>
      </c>
      <c r="C108" s="366">
        <v>2</v>
      </c>
      <c r="D108" s="367">
        <v>43.94</v>
      </c>
      <c r="E108" s="368"/>
      <c r="F108" s="368">
        <f t="shared" si="4"/>
        <v>1.4886871999999998</v>
      </c>
      <c r="G108" s="431">
        <v>22.35</v>
      </c>
    </row>
    <row r="109" spans="1:7" x14ac:dyDescent="0.25">
      <c r="A109" s="21">
        <v>108</v>
      </c>
      <c r="B109" s="365" t="s">
        <v>343</v>
      </c>
      <c r="C109" s="366">
        <v>2</v>
      </c>
      <c r="D109" s="367">
        <v>43.86</v>
      </c>
      <c r="E109" s="368"/>
      <c r="F109" s="368">
        <f t="shared" si="4"/>
        <v>1.4859768</v>
      </c>
      <c r="G109" s="431">
        <v>27.14</v>
      </c>
    </row>
    <row r="110" spans="1:7" x14ac:dyDescent="0.25">
      <c r="A110" s="21">
        <v>109</v>
      </c>
      <c r="B110" s="365" t="s">
        <v>344</v>
      </c>
      <c r="C110" s="366">
        <v>2</v>
      </c>
      <c r="D110" s="367">
        <v>44.62</v>
      </c>
      <c r="E110" s="368"/>
      <c r="F110" s="368">
        <f t="shared" si="4"/>
        <v>1.5117255999999999</v>
      </c>
      <c r="G110" s="431">
        <v>20.69</v>
      </c>
    </row>
    <row r="111" spans="1:7" x14ac:dyDescent="0.25">
      <c r="A111" s="22">
        <v>110</v>
      </c>
      <c r="B111" s="365" t="s">
        <v>345</v>
      </c>
      <c r="C111" s="366">
        <v>2</v>
      </c>
      <c r="D111" s="367">
        <v>44.62</v>
      </c>
      <c r="E111" s="368"/>
      <c r="F111" s="368">
        <f t="shared" si="4"/>
        <v>1.5117255999999999</v>
      </c>
      <c r="G111" s="433">
        <v>25</v>
      </c>
    </row>
    <row r="112" spans="1:7" s="2" customFormat="1" x14ac:dyDescent="0.25">
      <c r="A112" s="21">
        <v>111</v>
      </c>
      <c r="B112" s="255" t="s">
        <v>346</v>
      </c>
      <c r="C112" s="251">
        <v>2</v>
      </c>
      <c r="D112" s="252">
        <v>46.3</v>
      </c>
      <c r="E112" s="253">
        <f t="shared" si="5"/>
        <v>2.8571729999999995</v>
      </c>
      <c r="F112" s="253">
        <f t="shared" si="4"/>
        <v>1.5686439999999999</v>
      </c>
      <c r="G112" s="432"/>
    </row>
    <row r="113" spans="1:7" s="2" customFormat="1" x14ac:dyDescent="0.25">
      <c r="A113" s="21">
        <v>112</v>
      </c>
      <c r="B113" s="257" t="s">
        <v>347</v>
      </c>
      <c r="C113" s="251">
        <v>3</v>
      </c>
      <c r="D113" s="252">
        <v>57.69</v>
      </c>
      <c r="E113" s="253">
        <f t="shared" si="5"/>
        <v>3.5600498999999997</v>
      </c>
      <c r="F113" s="253">
        <f t="shared" si="4"/>
        <v>1.9545371999999999</v>
      </c>
      <c r="G113" s="432"/>
    </row>
    <row r="114" spans="1:7" s="2" customFormat="1" x14ac:dyDescent="0.25">
      <c r="A114" s="22">
        <v>113</v>
      </c>
      <c r="B114" s="258" t="s">
        <v>371</v>
      </c>
      <c r="C114" s="259">
        <v>3</v>
      </c>
      <c r="D114" s="260">
        <v>79.3</v>
      </c>
      <c r="E114" s="253">
        <f t="shared" si="5"/>
        <v>4.8936029999999997</v>
      </c>
      <c r="F114" s="253">
        <f t="shared" si="4"/>
        <v>2.6866840000000001</v>
      </c>
      <c r="G114" s="432"/>
    </row>
    <row r="115" spans="1:7" s="2" customFormat="1" x14ac:dyDescent="0.25">
      <c r="A115" s="21">
        <v>114</v>
      </c>
      <c r="B115" s="258" t="s">
        <v>372</v>
      </c>
      <c r="C115" s="259">
        <v>2</v>
      </c>
      <c r="D115" s="260">
        <v>37.67</v>
      </c>
      <c r="E115" s="253">
        <f t="shared" si="5"/>
        <v>2.3246156999999998</v>
      </c>
      <c r="F115" s="253">
        <f t="shared" si="4"/>
        <v>1.2762596000000002</v>
      </c>
      <c r="G115" s="432"/>
    </row>
    <row r="116" spans="1:7" s="2" customFormat="1" x14ac:dyDescent="0.25">
      <c r="A116" s="21">
        <v>115</v>
      </c>
      <c r="B116" s="258" t="s">
        <v>373</v>
      </c>
      <c r="C116" s="259">
        <v>2</v>
      </c>
      <c r="D116" s="260">
        <v>62.19</v>
      </c>
      <c r="E116" s="253">
        <f t="shared" si="5"/>
        <v>3.8377448999999997</v>
      </c>
      <c r="F116" s="253">
        <f t="shared" si="4"/>
        <v>2.1069971999999999</v>
      </c>
      <c r="G116" s="432"/>
    </row>
    <row r="117" spans="1:7" s="2" customFormat="1" x14ac:dyDescent="0.25">
      <c r="A117" s="22">
        <v>116</v>
      </c>
      <c r="B117" s="258" t="s">
        <v>374</v>
      </c>
      <c r="C117" s="259">
        <v>1</v>
      </c>
      <c r="D117" s="260">
        <v>21.99</v>
      </c>
      <c r="E117" s="253">
        <f t="shared" si="5"/>
        <v>1.3570028999999999</v>
      </c>
      <c r="F117" s="253">
        <f t="shared" si="4"/>
        <v>0.74502119999999994</v>
      </c>
      <c r="G117" s="432"/>
    </row>
    <row r="118" spans="1:7" s="2" customFormat="1" x14ac:dyDescent="0.25">
      <c r="A118" s="21">
        <v>117</v>
      </c>
      <c r="B118" s="258" t="s">
        <v>375</v>
      </c>
      <c r="C118" s="259">
        <v>3</v>
      </c>
      <c r="D118" s="260">
        <v>79.3</v>
      </c>
      <c r="E118" s="253">
        <f t="shared" si="5"/>
        <v>4.8936029999999997</v>
      </c>
      <c r="F118" s="253">
        <f t="shared" si="4"/>
        <v>2.6866840000000001</v>
      </c>
      <c r="G118" s="432"/>
    </row>
    <row r="119" spans="1:7" s="2" customFormat="1" x14ac:dyDescent="0.25">
      <c r="A119" s="21">
        <v>118</v>
      </c>
      <c r="B119" s="261" t="s">
        <v>364</v>
      </c>
      <c r="C119" s="262">
        <v>1</v>
      </c>
      <c r="D119" s="260">
        <v>33.99</v>
      </c>
      <c r="E119" s="253">
        <f t="shared" si="5"/>
        <v>2.0975229</v>
      </c>
      <c r="F119" s="253">
        <f t="shared" si="4"/>
        <v>1.1515812000000001</v>
      </c>
      <c r="G119" s="432"/>
    </row>
    <row r="120" spans="1:7" s="2" customFormat="1" x14ac:dyDescent="0.25">
      <c r="A120" s="22">
        <v>119</v>
      </c>
      <c r="B120" s="261" t="s">
        <v>365</v>
      </c>
      <c r="C120" s="262">
        <v>1</v>
      </c>
      <c r="D120" s="260">
        <v>33.99</v>
      </c>
      <c r="E120" s="253">
        <f t="shared" si="5"/>
        <v>2.0975229</v>
      </c>
      <c r="F120" s="253">
        <f t="shared" si="4"/>
        <v>1.1515812000000001</v>
      </c>
      <c r="G120" s="432"/>
    </row>
    <row r="121" spans="1:7" s="2" customFormat="1" x14ac:dyDescent="0.25">
      <c r="A121" s="21">
        <v>120</v>
      </c>
      <c r="B121" s="261" t="s">
        <v>366</v>
      </c>
      <c r="C121" s="262">
        <v>3</v>
      </c>
      <c r="D121" s="260">
        <v>62.48</v>
      </c>
      <c r="E121" s="253">
        <f t="shared" si="5"/>
        <v>3.8556407999999993</v>
      </c>
      <c r="F121" s="253">
        <f t="shared" si="4"/>
        <v>2.1168223999999998</v>
      </c>
      <c r="G121" s="432"/>
    </row>
    <row r="122" spans="1:7" s="2" customFormat="1" x14ac:dyDescent="0.25">
      <c r="A122" s="21">
        <v>121</v>
      </c>
      <c r="B122" s="261" t="s">
        <v>367</v>
      </c>
      <c r="C122" s="262">
        <v>2</v>
      </c>
      <c r="D122" s="260">
        <v>52.27</v>
      </c>
      <c r="E122" s="253">
        <f t="shared" si="5"/>
        <v>3.2255817000000002</v>
      </c>
      <c r="F122" s="253">
        <f t="shared" si="4"/>
        <v>1.7709076000000001</v>
      </c>
      <c r="G122" s="432"/>
    </row>
    <row r="123" spans="1:7" s="2" customFormat="1" x14ac:dyDescent="0.25">
      <c r="A123" s="22">
        <v>122</v>
      </c>
      <c r="B123" s="261" t="s">
        <v>368</v>
      </c>
      <c r="C123" s="262">
        <v>2</v>
      </c>
      <c r="D123" s="260">
        <v>52.27</v>
      </c>
      <c r="E123" s="253">
        <f t="shared" si="5"/>
        <v>3.2255817000000002</v>
      </c>
      <c r="F123" s="253">
        <f t="shared" si="4"/>
        <v>1.7709076000000001</v>
      </c>
      <c r="G123" s="432"/>
    </row>
    <row r="124" spans="1:7" s="2" customFormat="1" x14ac:dyDescent="0.25">
      <c r="A124" s="21">
        <v>123</v>
      </c>
      <c r="B124" s="261" t="s">
        <v>369</v>
      </c>
      <c r="C124" s="262">
        <v>3</v>
      </c>
      <c r="D124" s="260">
        <v>63</v>
      </c>
      <c r="E124" s="253">
        <f t="shared" si="5"/>
        <v>3.8877299999999995</v>
      </c>
      <c r="F124" s="253">
        <f t="shared" si="4"/>
        <v>2.1344400000000001</v>
      </c>
      <c r="G124" s="432"/>
    </row>
    <row r="125" spans="1:7" s="2" customFormat="1" x14ac:dyDescent="0.25">
      <c r="A125" s="21">
        <v>124</v>
      </c>
      <c r="B125" s="261" t="s">
        <v>370</v>
      </c>
      <c r="C125" s="262">
        <v>2</v>
      </c>
      <c r="D125" s="260">
        <v>52.27</v>
      </c>
      <c r="E125" s="253">
        <f t="shared" si="5"/>
        <v>3.2255817000000002</v>
      </c>
      <c r="F125" s="253">
        <f t="shared" si="4"/>
        <v>1.7709076000000001</v>
      </c>
      <c r="G125" s="432"/>
    </row>
    <row r="126" spans="1:7" s="2" customFormat="1" x14ac:dyDescent="0.25">
      <c r="A126" s="22">
        <v>125</v>
      </c>
      <c r="B126" s="365" t="s">
        <v>348</v>
      </c>
      <c r="C126" s="366">
        <v>1</v>
      </c>
      <c r="D126" s="367">
        <v>32.79</v>
      </c>
      <c r="E126" s="368"/>
      <c r="F126" s="368">
        <f t="shared" si="4"/>
        <v>1.1109252000000001</v>
      </c>
      <c r="G126" s="431">
        <v>12.49</v>
      </c>
    </row>
    <row r="127" spans="1:7" s="2" customFormat="1" x14ac:dyDescent="0.25">
      <c r="A127" s="21">
        <v>126</v>
      </c>
      <c r="B127" s="365" t="s">
        <v>349</v>
      </c>
      <c r="C127" s="366">
        <v>1</v>
      </c>
      <c r="D127" s="367">
        <v>32.700000000000003</v>
      </c>
      <c r="E127" s="368"/>
      <c r="F127" s="368">
        <f t="shared" si="4"/>
        <v>1.1078760000000001</v>
      </c>
      <c r="G127" s="433">
        <v>10.87</v>
      </c>
    </row>
    <row r="128" spans="1:7" s="2" customFormat="1" x14ac:dyDescent="0.25">
      <c r="A128" s="21">
        <v>127</v>
      </c>
      <c r="B128" s="365" t="s">
        <v>350</v>
      </c>
      <c r="C128" s="371">
        <v>1</v>
      </c>
      <c r="D128" s="372">
        <v>32.71</v>
      </c>
      <c r="E128" s="368"/>
      <c r="F128" s="368">
        <f t="shared" si="4"/>
        <v>1.1082148000000001</v>
      </c>
      <c r="G128" s="431">
        <v>10.88</v>
      </c>
    </row>
    <row r="129" spans="1:7" x14ac:dyDescent="0.25">
      <c r="A129" s="22">
        <v>128</v>
      </c>
      <c r="B129" s="365" t="s">
        <v>351</v>
      </c>
      <c r="C129" s="366">
        <v>1</v>
      </c>
      <c r="D129" s="367">
        <v>33.07</v>
      </c>
      <c r="E129" s="368"/>
      <c r="F129" s="368">
        <f t="shared" si="4"/>
        <v>1.1204116</v>
      </c>
      <c r="G129" s="433">
        <v>10.99</v>
      </c>
    </row>
    <row r="130" spans="1:7" x14ac:dyDescent="0.25">
      <c r="A130" s="21">
        <v>129</v>
      </c>
      <c r="B130" s="365" t="s">
        <v>1105</v>
      </c>
      <c r="C130" s="366">
        <v>1</v>
      </c>
      <c r="D130" s="367">
        <v>33.14</v>
      </c>
      <c r="E130" s="368"/>
      <c r="F130" s="368">
        <f t="shared" si="4"/>
        <v>1.1227832</v>
      </c>
      <c r="G130" s="431">
        <v>11.01</v>
      </c>
    </row>
    <row r="131" spans="1:7" x14ac:dyDescent="0.25">
      <c r="A131" s="21">
        <v>130</v>
      </c>
      <c r="B131" s="365" t="s">
        <v>1106</v>
      </c>
      <c r="C131" s="366">
        <v>1</v>
      </c>
      <c r="D131" s="367">
        <v>33.01</v>
      </c>
      <c r="E131" s="368"/>
      <c r="F131" s="368">
        <f t="shared" si="4"/>
        <v>1.1183787999999999</v>
      </c>
      <c r="G131" s="433">
        <v>10.97</v>
      </c>
    </row>
    <row r="132" spans="1:7" x14ac:dyDescent="0.25">
      <c r="A132" s="22">
        <v>131</v>
      </c>
      <c r="B132" s="365" t="s">
        <v>352</v>
      </c>
      <c r="C132" s="366">
        <v>1</v>
      </c>
      <c r="D132" s="367">
        <v>32.770000000000003</v>
      </c>
      <c r="E132" s="368"/>
      <c r="F132" s="368">
        <f t="shared" si="4"/>
        <v>1.1102476000000001</v>
      </c>
      <c r="G132" s="433">
        <v>10.9</v>
      </c>
    </row>
    <row r="133" spans="1:7" x14ac:dyDescent="0.25">
      <c r="A133" s="21">
        <v>132</v>
      </c>
      <c r="B133" s="365" t="s">
        <v>353</v>
      </c>
      <c r="C133" s="371">
        <v>1</v>
      </c>
      <c r="D133" s="372">
        <v>33.020000000000003</v>
      </c>
      <c r="E133" s="368"/>
      <c r="F133" s="368">
        <f t="shared" si="4"/>
        <v>1.1187176000000001</v>
      </c>
      <c r="G133" s="433">
        <v>13.57</v>
      </c>
    </row>
    <row r="134" spans="1:7" x14ac:dyDescent="0.25">
      <c r="A134" s="21">
        <v>133</v>
      </c>
      <c r="B134" s="365" t="s">
        <v>354</v>
      </c>
      <c r="C134" s="366">
        <v>1</v>
      </c>
      <c r="D134" s="367">
        <v>32.82</v>
      </c>
      <c r="E134" s="368"/>
      <c r="F134" s="368">
        <f t="shared" si="4"/>
        <v>1.1119416</v>
      </c>
      <c r="G134" s="431">
        <v>10.91</v>
      </c>
    </row>
    <row r="135" spans="1:7" x14ac:dyDescent="0.25">
      <c r="A135" s="22">
        <v>134</v>
      </c>
      <c r="B135" s="250" t="s">
        <v>355</v>
      </c>
      <c r="C135" s="251">
        <v>1</v>
      </c>
      <c r="D135" s="252">
        <v>33.49</v>
      </c>
      <c r="E135" s="253">
        <f t="shared" si="5"/>
        <v>2.0666678999999997</v>
      </c>
      <c r="F135" s="253">
        <f t="shared" si="4"/>
        <v>1.1346412000000001</v>
      </c>
      <c r="G135" s="432">
        <v>9.5</v>
      </c>
    </row>
    <row r="136" spans="1:7" x14ac:dyDescent="0.25">
      <c r="A136" s="21">
        <v>135</v>
      </c>
      <c r="B136" s="365" t="s">
        <v>250</v>
      </c>
      <c r="C136" s="366">
        <v>1</v>
      </c>
      <c r="D136" s="367">
        <v>36.450000000000003</v>
      </c>
      <c r="E136" s="368"/>
      <c r="F136" s="368">
        <f>D136*0.028*1.21</f>
        <v>1.2349260000000002</v>
      </c>
      <c r="G136" s="431">
        <v>18.420000000000002</v>
      </c>
    </row>
    <row r="137" spans="1:7" s="2" customFormat="1" x14ac:dyDescent="0.25">
      <c r="A137" s="21">
        <v>136</v>
      </c>
      <c r="B137" s="365" t="s">
        <v>1153</v>
      </c>
      <c r="C137" s="366">
        <v>1</v>
      </c>
      <c r="D137" s="367">
        <v>34.19</v>
      </c>
      <c r="E137" s="368"/>
      <c r="F137" s="368">
        <f>D137*0.028*1.21</f>
        <v>1.1583572</v>
      </c>
      <c r="G137" s="431"/>
    </row>
    <row r="138" spans="1:7" x14ac:dyDescent="0.25">
      <c r="A138" s="21">
        <v>137</v>
      </c>
      <c r="B138" s="365" t="s">
        <v>356</v>
      </c>
      <c r="C138" s="366">
        <v>2</v>
      </c>
      <c r="D138" s="367">
        <v>48.87</v>
      </c>
      <c r="E138" s="368"/>
      <c r="F138" s="368">
        <f t="shared" ref="F138:F145" si="6">D138*0.028*1.21</f>
        <v>1.6557156</v>
      </c>
      <c r="G138" s="433">
        <v>32</v>
      </c>
    </row>
    <row r="139" spans="1:7" x14ac:dyDescent="0.25">
      <c r="A139" s="22">
        <v>138</v>
      </c>
      <c r="B139" s="250" t="s">
        <v>357</v>
      </c>
      <c r="C139" s="251">
        <v>2</v>
      </c>
      <c r="D139" s="252">
        <v>50.53</v>
      </c>
      <c r="E139" s="253">
        <f t="shared" si="5"/>
        <v>3.1182062999999998</v>
      </c>
      <c r="F139" s="253">
        <f t="shared" si="6"/>
        <v>1.7119564</v>
      </c>
      <c r="G139" s="432">
        <v>11.8</v>
      </c>
    </row>
    <row r="140" spans="1:7" s="2" customFormat="1" x14ac:dyDescent="0.25">
      <c r="A140" s="21">
        <v>139</v>
      </c>
      <c r="B140" s="250" t="s">
        <v>358</v>
      </c>
      <c r="C140" s="251">
        <v>2</v>
      </c>
      <c r="D140" s="252">
        <v>49.87</v>
      </c>
      <c r="E140" s="253">
        <f t="shared" si="5"/>
        <v>3.0774776999999998</v>
      </c>
      <c r="F140" s="253">
        <f t="shared" si="6"/>
        <v>1.6895956000000001</v>
      </c>
      <c r="G140" s="432">
        <v>11.13</v>
      </c>
    </row>
    <row r="141" spans="1:7" s="2" customFormat="1" x14ac:dyDescent="0.25">
      <c r="A141" s="21">
        <v>140</v>
      </c>
      <c r="B141" s="250" t="s">
        <v>359</v>
      </c>
      <c r="C141" s="251">
        <v>1</v>
      </c>
      <c r="D141" s="252">
        <v>36.57</v>
      </c>
      <c r="E141" s="253">
        <f t="shared" si="5"/>
        <v>2.2567347</v>
      </c>
      <c r="F141" s="253">
        <f t="shared" si="6"/>
        <v>1.2389915999999999</v>
      </c>
      <c r="G141" s="432"/>
    </row>
    <row r="142" spans="1:7" s="2" customFormat="1" x14ac:dyDescent="0.25">
      <c r="A142" s="22">
        <v>141</v>
      </c>
      <c r="B142" s="250" t="s">
        <v>360</v>
      </c>
      <c r="C142" s="251">
        <v>1</v>
      </c>
      <c r="D142" s="252">
        <v>36.49</v>
      </c>
      <c r="E142" s="253">
        <f t="shared" si="5"/>
        <v>2.2517978999999997</v>
      </c>
      <c r="F142" s="253">
        <f t="shared" si="6"/>
        <v>1.2362812000000001</v>
      </c>
      <c r="G142" s="432"/>
    </row>
    <row r="143" spans="1:7" s="2" customFormat="1" x14ac:dyDescent="0.25">
      <c r="A143" s="21">
        <v>142</v>
      </c>
      <c r="B143" s="250" t="s">
        <v>361</v>
      </c>
      <c r="C143" s="251">
        <v>2</v>
      </c>
      <c r="D143" s="252">
        <v>50.59</v>
      </c>
      <c r="E143" s="253">
        <f t="shared" si="5"/>
        <v>3.1219089000000002</v>
      </c>
      <c r="F143" s="253">
        <f t="shared" si="6"/>
        <v>1.7139892000000003</v>
      </c>
      <c r="G143" s="432"/>
    </row>
    <row r="144" spans="1:7" x14ac:dyDescent="0.25">
      <c r="A144" s="21">
        <v>143</v>
      </c>
      <c r="B144" s="365" t="s">
        <v>362</v>
      </c>
      <c r="C144" s="366">
        <v>3</v>
      </c>
      <c r="D144" s="367">
        <v>58.33</v>
      </c>
      <c r="E144" s="368"/>
      <c r="F144" s="368">
        <f t="shared" si="6"/>
        <v>1.9762203999999999</v>
      </c>
      <c r="G144" s="433">
        <v>36.090000000000003</v>
      </c>
    </row>
    <row r="145" spans="1:10" x14ac:dyDescent="0.25">
      <c r="A145" s="22">
        <v>144</v>
      </c>
      <c r="B145" s="263" t="s">
        <v>363</v>
      </c>
      <c r="C145" s="264">
        <v>2</v>
      </c>
      <c r="D145" s="265">
        <v>43.98</v>
      </c>
      <c r="E145" s="253">
        <f t="shared" si="5"/>
        <v>2.7140057999999998</v>
      </c>
      <c r="F145" s="253">
        <f t="shared" si="6"/>
        <v>1.4900423999999999</v>
      </c>
      <c r="G145" s="432"/>
    </row>
    <row r="146" spans="1:10" ht="15.75" thickBot="1" x14ac:dyDescent="0.3">
      <c r="A146" s="13"/>
      <c r="B146" s="435" t="s">
        <v>110</v>
      </c>
      <c r="C146" s="436"/>
      <c r="D146" s="437">
        <f>SUM(D2:D145)</f>
        <v>6026.9599999999973</v>
      </c>
      <c r="E146" s="437">
        <f>SUM(E2:E145)</f>
        <v>140.84443560000005</v>
      </c>
      <c r="F146" s="437">
        <f>SUM(F2:F145)</f>
        <v>189.6568519999999</v>
      </c>
      <c r="G146" s="438">
        <f>SUM(G2:G145)</f>
        <v>1899.3900000000006</v>
      </c>
      <c r="H146" s="114"/>
      <c r="I146" s="58"/>
      <c r="J146" s="58"/>
    </row>
    <row r="147" spans="1:10" ht="15.75" x14ac:dyDescent="0.25">
      <c r="B147" s="123"/>
    </row>
    <row r="148" spans="1:10" ht="15.75" x14ac:dyDescent="0.25">
      <c r="B148" s="123" t="s">
        <v>1114</v>
      </c>
    </row>
    <row r="149" spans="1:10" ht="15.75" x14ac:dyDescent="0.25">
      <c r="A149" s="58"/>
      <c r="B149" s="121" t="s">
        <v>376</v>
      </c>
      <c r="C149" s="58">
        <v>200</v>
      </c>
      <c r="D149" s="58">
        <v>12</v>
      </c>
      <c r="E149" s="82">
        <f>C149*D149</f>
        <v>2400</v>
      </c>
    </row>
    <row r="150" spans="1:10" s="2" customFormat="1" ht="15.75" x14ac:dyDescent="0.25">
      <c r="A150" s="58"/>
      <c r="B150" s="121" t="s">
        <v>1120</v>
      </c>
      <c r="C150" s="58">
        <v>200</v>
      </c>
      <c r="D150" s="58">
        <v>12</v>
      </c>
      <c r="E150" s="82">
        <f>C150*D150</f>
        <v>2400</v>
      </c>
    </row>
    <row r="151" spans="1:10" x14ac:dyDescent="0.25">
      <c r="A151" s="58"/>
      <c r="B151" s="58" t="s">
        <v>377</v>
      </c>
      <c r="C151" s="61">
        <f>D146/123</f>
        <v>48.999674796747946</v>
      </c>
      <c r="D151" s="58"/>
      <c r="E151" s="58"/>
    </row>
    <row r="152" spans="1:10" x14ac:dyDescent="0.25">
      <c r="A152" s="58"/>
      <c r="B152" s="58" t="s">
        <v>378</v>
      </c>
      <c r="C152" s="58">
        <v>25</v>
      </c>
      <c r="D152" s="58"/>
      <c r="E152" s="58"/>
    </row>
    <row r="153" spans="1:10" ht="31.5" x14ac:dyDescent="0.25">
      <c r="A153" s="58"/>
      <c r="B153" s="121" t="s">
        <v>379</v>
      </c>
      <c r="C153" s="58">
        <f>C152*123</f>
        <v>3075</v>
      </c>
      <c r="D153" s="58">
        <v>12</v>
      </c>
      <c r="E153" s="58">
        <f>C153*D153</f>
        <v>36900</v>
      </c>
    </row>
    <row r="154" spans="1:10" x14ac:dyDescent="0.25">
      <c r="E154">
        <f>E149+E153</f>
        <v>39300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4"/>
  <sheetViews>
    <sheetView topLeftCell="C317" workbookViewId="0">
      <selection activeCell="Q250" sqref="Q250"/>
    </sheetView>
  </sheetViews>
  <sheetFormatPr defaultRowHeight="15" x14ac:dyDescent="0.25"/>
  <cols>
    <col min="1" max="1" width="9.5703125" style="208" customWidth="1"/>
    <col min="2" max="2" width="3.7109375" style="1" customWidth="1"/>
    <col min="3" max="3" width="22.42578125" style="47" customWidth="1"/>
    <col min="4" max="4" width="12.7109375" style="1" customWidth="1"/>
    <col min="5" max="6" width="6.7109375" style="1" customWidth="1"/>
    <col min="7" max="7" width="5.42578125" style="1" customWidth="1"/>
    <col min="8" max="8" width="14" style="1" customWidth="1"/>
    <col min="9" max="9" width="12.7109375" style="1" customWidth="1"/>
    <col min="10" max="10" width="5.7109375" style="1" customWidth="1"/>
    <col min="11" max="11" width="5.5703125" style="1" customWidth="1"/>
    <col min="12" max="12" width="5.7109375" style="1" customWidth="1"/>
    <col min="13" max="13" width="6.42578125" style="1" customWidth="1"/>
    <col min="14" max="14" width="7.140625" style="1" customWidth="1"/>
    <col min="15" max="15" width="13.28515625" style="1" customWidth="1"/>
    <col min="16" max="16" width="11.5703125" style="1" customWidth="1"/>
    <col min="17" max="17" width="23.140625" style="1" customWidth="1"/>
    <col min="18" max="18" width="18" style="1" customWidth="1"/>
  </cols>
  <sheetData>
    <row r="1" spans="1:18" ht="72" x14ac:dyDescent="0.25">
      <c r="A1" s="208" t="s">
        <v>493</v>
      </c>
      <c r="B1" s="209" t="s">
        <v>494</v>
      </c>
      <c r="C1" s="210" t="s">
        <v>1</v>
      </c>
      <c r="D1" s="211" t="s">
        <v>495</v>
      </c>
      <c r="E1" s="211" t="s">
        <v>496</v>
      </c>
      <c r="F1" s="211" t="s">
        <v>497</v>
      </c>
      <c r="G1" s="211" t="s">
        <v>498</v>
      </c>
      <c r="H1" s="211" t="s">
        <v>499</v>
      </c>
      <c r="I1" s="211" t="s">
        <v>500</v>
      </c>
      <c r="J1" s="211" t="s">
        <v>501</v>
      </c>
      <c r="K1" s="211" t="s">
        <v>502</v>
      </c>
      <c r="L1" s="211" t="s">
        <v>503</v>
      </c>
      <c r="M1" s="211" t="s">
        <v>504</v>
      </c>
      <c r="N1" s="211" t="s">
        <v>505</v>
      </c>
      <c r="O1" s="211" t="s">
        <v>506</v>
      </c>
      <c r="P1" s="211" t="s">
        <v>507</v>
      </c>
      <c r="Q1" s="211" t="s">
        <v>508</v>
      </c>
      <c r="R1" s="211" t="s">
        <v>509</v>
      </c>
    </row>
    <row r="2" spans="1:18" ht="24" x14ac:dyDescent="0.25">
      <c r="A2" s="212" t="s">
        <v>510</v>
      </c>
      <c r="B2" s="213">
        <v>1</v>
      </c>
      <c r="C2" s="214" t="s">
        <v>511</v>
      </c>
      <c r="D2" s="215">
        <v>469890001014</v>
      </c>
      <c r="E2" s="216">
        <v>2952.55</v>
      </c>
      <c r="F2" s="216">
        <v>2364.09</v>
      </c>
      <c r="G2" s="216">
        <v>5</v>
      </c>
      <c r="H2" s="216" t="s">
        <v>512</v>
      </c>
      <c r="I2" s="216" t="s">
        <v>513</v>
      </c>
      <c r="J2" s="216">
        <v>1989</v>
      </c>
      <c r="K2" s="216">
        <v>65</v>
      </c>
      <c r="L2" s="213">
        <v>0</v>
      </c>
      <c r="M2" s="216">
        <v>65</v>
      </c>
      <c r="N2" s="213">
        <v>0</v>
      </c>
      <c r="O2" s="213" t="s">
        <v>514</v>
      </c>
      <c r="P2" s="213">
        <v>156916523</v>
      </c>
      <c r="Q2" s="213" t="s">
        <v>515</v>
      </c>
      <c r="R2" s="213" t="s">
        <v>516</v>
      </c>
    </row>
    <row r="3" spans="1:18" ht="24" x14ac:dyDescent="0.25">
      <c r="A3" s="212" t="s">
        <v>510</v>
      </c>
      <c r="B3" s="213">
        <v>2</v>
      </c>
      <c r="C3" s="214" t="s">
        <v>517</v>
      </c>
      <c r="D3" s="215">
        <v>469880005015</v>
      </c>
      <c r="E3" s="216">
        <v>4768.75</v>
      </c>
      <c r="F3" s="216">
        <v>3953.25</v>
      </c>
      <c r="G3" s="216">
        <v>5</v>
      </c>
      <c r="H3" s="216" t="s">
        <v>518</v>
      </c>
      <c r="I3" s="216" t="s">
        <v>519</v>
      </c>
      <c r="J3" s="216">
        <v>1988</v>
      </c>
      <c r="K3" s="216">
        <v>75</v>
      </c>
      <c r="L3" s="213">
        <v>0</v>
      </c>
      <c r="M3" s="216">
        <v>75</v>
      </c>
      <c r="N3" s="213">
        <v>0</v>
      </c>
      <c r="O3" s="213" t="s">
        <v>514</v>
      </c>
      <c r="P3" s="213">
        <v>156916523</v>
      </c>
      <c r="Q3" s="213" t="s">
        <v>515</v>
      </c>
      <c r="R3" s="213" t="s">
        <v>516</v>
      </c>
    </row>
    <row r="4" spans="1:18" ht="24" x14ac:dyDescent="0.25">
      <c r="A4" s="212" t="s">
        <v>510</v>
      </c>
      <c r="B4" s="213">
        <v>3</v>
      </c>
      <c r="C4" s="214" t="s">
        <v>520</v>
      </c>
      <c r="D4" s="215">
        <v>469890005018</v>
      </c>
      <c r="E4" s="216">
        <v>2846.01</v>
      </c>
      <c r="F4" s="216">
        <v>2327.5</v>
      </c>
      <c r="G4" s="216">
        <v>5</v>
      </c>
      <c r="H4" s="216" t="s">
        <v>512</v>
      </c>
      <c r="I4" s="216" t="s">
        <v>513</v>
      </c>
      <c r="J4" s="216">
        <v>1989</v>
      </c>
      <c r="K4" s="216">
        <v>45</v>
      </c>
      <c r="L4" s="213">
        <v>0</v>
      </c>
      <c r="M4" s="216">
        <v>45</v>
      </c>
      <c r="N4" s="213">
        <v>0</v>
      </c>
      <c r="O4" s="213" t="s">
        <v>514</v>
      </c>
      <c r="P4" s="213">
        <v>156916523</v>
      </c>
      <c r="Q4" s="213" t="s">
        <v>515</v>
      </c>
      <c r="R4" s="213" t="s">
        <v>516</v>
      </c>
    </row>
    <row r="5" spans="1:18" ht="24" x14ac:dyDescent="0.25">
      <c r="A5" s="212" t="s">
        <v>510</v>
      </c>
      <c r="B5" s="213">
        <v>4</v>
      </c>
      <c r="C5" s="214" t="s">
        <v>521</v>
      </c>
      <c r="D5" s="215">
        <v>469890006017</v>
      </c>
      <c r="E5" s="216">
        <v>2866.91</v>
      </c>
      <c r="F5" s="216">
        <v>2352.0500000000002</v>
      </c>
      <c r="G5" s="216">
        <v>5</v>
      </c>
      <c r="H5" s="216" t="s">
        <v>512</v>
      </c>
      <c r="I5" s="216" t="s">
        <v>513</v>
      </c>
      <c r="J5" s="216">
        <v>1989</v>
      </c>
      <c r="K5" s="216">
        <v>65</v>
      </c>
      <c r="L5" s="213">
        <v>0</v>
      </c>
      <c r="M5" s="216">
        <v>65</v>
      </c>
      <c r="N5" s="213">
        <v>0</v>
      </c>
      <c r="O5" s="213" t="s">
        <v>514</v>
      </c>
      <c r="P5" s="213">
        <v>156916523</v>
      </c>
      <c r="Q5" s="213" t="s">
        <v>515</v>
      </c>
      <c r="R5" s="213" t="s">
        <v>516</v>
      </c>
    </row>
    <row r="6" spans="1:18" ht="24" x14ac:dyDescent="0.25">
      <c r="A6" s="212" t="s">
        <v>510</v>
      </c>
      <c r="B6" s="213">
        <v>5</v>
      </c>
      <c r="C6" s="214" t="s">
        <v>522</v>
      </c>
      <c r="D6" s="215">
        <v>469890042013</v>
      </c>
      <c r="E6" s="216">
        <v>2797.81</v>
      </c>
      <c r="F6" s="216">
        <v>2313.3000000000002</v>
      </c>
      <c r="G6" s="216">
        <v>5</v>
      </c>
      <c r="H6" s="216" t="s">
        <v>523</v>
      </c>
      <c r="I6" s="216" t="s">
        <v>524</v>
      </c>
      <c r="J6" s="216">
        <v>1989</v>
      </c>
      <c r="K6" s="216">
        <v>44</v>
      </c>
      <c r="L6" s="213">
        <v>1</v>
      </c>
      <c r="M6" s="216">
        <v>44</v>
      </c>
      <c r="N6" s="213">
        <v>1</v>
      </c>
      <c r="O6" s="213" t="s">
        <v>514</v>
      </c>
      <c r="P6" s="213">
        <v>156916523</v>
      </c>
      <c r="Q6" s="213" t="s">
        <v>515</v>
      </c>
      <c r="R6" s="213" t="s">
        <v>516</v>
      </c>
    </row>
    <row r="7" spans="1:18" ht="24" x14ac:dyDescent="0.25">
      <c r="A7" s="212" t="s">
        <v>510</v>
      </c>
      <c r="B7" s="213">
        <v>6</v>
      </c>
      <c r="C7" s="214" t="s">
        <v>525</v>
      </c>
      <c r="D7" s="215">
        <v>469900002012</v>
      </c>
      <c r="E7" s="216">
        <v>2858.35</v>
      </c>
      <c r="F7" s="216">
        <v>2325.4499999999998</v>
      </c>
      <c r="G7" s="216">
        <v>5</v>
      </c>
      <c r="H7" s="216" t="s">
        <v>518</v>
      </c>
      <c r="I7" s="216" t="s">
        <v>513</v>
      </c>
      <c r="J7" s="216">
        <v>1990</v>
      </c>
      <c r="K7" s="216">
        <v>45</v>
      </c>
      <c r="L7" s="213">
        <v>0</v>
      </c>
      <c r="M7" s="216">
        <v>45</v>
      </c>
      <c r="N7" s="213">
        <v>0</v>
      </c>
      <c r="O7" s="213" t="s">
        <v>514</v>
      </c>
      <c r="P7" s="213">
        <v>156916523</v>
      </c>
      <c r="Q7" s="213" t="s">
        <v>515</v>
      </c>
      <c r="R7" s="213" t="s">
        <v>516</v>
      </c>
    </row>
    <row r="8" spans="1:18" ht="24" x14ac:dyDescent="0.25">
      <c r="A8" s="212" t="s">
        <v>510</v>
      </c>
      <c r="B8" s="213">
        <v>7</v>
      </c>
      <c r="C8" s="214" t="s">
        <v>526</v>
      </c>
      <c r="D8" s="215">
        <v>440016534504</v>
      </c>
      <c r="E8" s="216">
        <v>1854</v>
      </c>
      <c r="F8" s="216">
        <v>1854</v>
      </c>
      <c r="G8" s="216">
        <v>5</v>
      </c>
      <c r="H8" s="216" t="s">
        <v>527</v>
      </c>
      <c r="I8" s="216" t="s">
        <v>519</v>
      </c>
      <c r="J8" s="216">
        <v>2009</v>
      </c>
      <c r="K8" s="216">
        <v>0</v>
      </c>
      <c r="L8" s="213">
        <v>0</v>
      </c>
      <c r="M8" s="216">
        <v>30</v>
      </c>
      <c r="N8" s="213">
        <v>0</v>
      </c>
      <c r="O8" s="213"/>
      <c r="P8" s="213">
        <v>156916523</v>
      </c>
      <c r="Q8" s="213" t="s">
        <v>515</v>
      </c>
      <c r="R8" s="213" t="s">
        <v>516</v>
      </c>
    </row>
    <row r="9" spans="1:18" ht="24" x14ac:dyDescent="0.25">
      <c r="A9" s="212" t="s">
        <v>510</v>
      </c>
      <c r="B9" s="213">
        <v>8</v>
      </c>
      <c r="C9" s="214" t="s">
        <v>528</v>
      </c>
      <c r="D9" s="215">
        <v>469900003010</v>
      </c>
      <c r="E9" s="216">
        <v>2854.63</v>
      </c>
      <c r="F9" s="216">
        <v>2328.3000000000002</v>
      </c>
      <c r="G9" s="216">
        <v>5</v>
      </c>
      <c r="H9" s="216" t="s">
        <v>518</v>
      </c>
      <c r="I9" s="216" t="s">
        <v>513</v>
      </c>
      <c r="J9" s="216">
        <v>1990</v>
      </c>
      <c r="K9" s="216">
        <v>45</v>
      </c>
      <c r="L9" s="213">
        <v>0</v>
      </c>
      <c r="M9" s="216">
        <v>45</v>
      </c>
      <c r="N9" s="213">
        <v>0</v>
      </c>
      <c r="O9" s="213" t="s">
        <v>514</v>
      </c>
      <c r="P9" s="213">
        <v>156916523</v>
      </c>
      <c r="Q9" s="213" t="s">
        <v>515</v>
      </c>
      <c r="R9" s="213" t="s">
        <v>516</v>
      </c>
    </row>
    <row r="10" spans="1:18" ht="24" x14ac:dyDescent="0.25">
      <c r="A10" s="212" t="s">
        <v>510</v>
      </c>
      <c r="B10" s="213">
        <v>9</v>
      </c>
      <c r="C10" s="214" t="s">
        <v>529</v>
      </c>
      <c r="D10" s="215">
        <v>469880001015</v>
      </c>
      <c r="E10" s="216">
        <v>2817.88</v>
      </c>
      <c r="F10" s="216">
        <v>2322.87</v>
      </c>
      <c r="G10" s="216">
        <v>5</v>
      </c>
      <c r="H10" s="216" t="s">
        <v>518</v>
      </c>
      <c r="I10" s="216" t="s">
        <v>519</v>
      </c>
      <c r="J10" s="216">
        <v>1988</v>
      </c>
      <c r="K10" s="216">
        <v>44</v>
      </c>
      <c r="L10" s="213">
        <v>0</v>
      </c>
      <c r="M10" s="216">
        <v>44</v>
      </c>
      <c r="N10" s="213">
        <v>0</v>
      </c>
      <c r="O10" s="213" t="s">
        <v>514</v>
      </c>
      <c r="P10" s="213">
        <v>156916523</v>
      </c>
      <c r="Q10" s="213" t="s">
        <v>515</v>
      </c>
      <c r="R10" s="213" t="s">
        <v>516</v>
      </c>
    </row>
    <row r="11" spans="1:18" ht="24" x14ac:dyDescent="0.25">
      <c r="A11" s="212" t="s">
        <v>510</v>
      </c>
      <c r="B11" s="213">
        <v>10</v>
      </c>
      <c r="C11" s="214" t="s">
        <v>530</v>
      </c>
      <c r="D11" s="215">
        <v>469920001013</v>
      </c>
      <c r="E11" s="216">
        <v>2839.56</v>
      </c>
      <c r="F11" s="216">
        <v>2325.0300000000002</v>
      </c>
      <c r="G11" s="216">
        <v>5</v>
      </c>
      <c r="H11" s="216" t="s">
        <v>523</v>
      </c>
      <c r="I11" s="216" t="s">
        <v>513</v>
      </c>
      <c r="J11" s="216">
        <v>1992</v>
      </c>
      <c r="K11" s="216">
        <v>45</v>
      </c>
      <c r="L11" s="213">
        <v>0</v>
      </c>
      <c r="M11" s="216">
        <v>45</v>
      </c>
      <c r="N11" s="213">
        <v>0</v>
      </c>
      <c r="O11" s="213" t="s">
        <v>514</v>
      </c>
      <c r="P11" s="213">
        <v>156916523</v>
      </c>
      <c r="Q11" s="213" t="s">
        <v>515</v>
      </c>
      <c r="R11" s="213" t="s">
        <v>516</v>
      </c>
    </row>
    <row r="12" spans="1:18" ht="24" x14ac:dyDescent="0.25">
      <c r="A12" s="212" t="s">
        <v>510</v>
      </c>
      <c r="B12" s="213">
        <v>11</v>
      </c>
      <c r="C12" s="214" t="s">
        <v>531</v>
      </c>
      <c r="D12" s="215">
        <v>469900064018</v>
      </c>
      <c r="E12" s="216">
        <v>2860.51</v>
      </c>
      <c r="F12" s="216">
        <v>2325.6999999999998</v>
      </c>
      <c r="G12" s="216">
        <v>5</v>
      </c>
      <c r="H12" s="216" t="s">
        <v>532</v>
      </c>
      <c r="I12" s="216" t="s">
        <v>519</v>
      </c>
      <c r="J12" s="216">
        <v>1990</v>
      </c>
      <c r="K12" s="216">
        <v>45</v>
      </c>
      <c r="L12" s="213">
        <v>0</v>
      </c>
      <c r="M12" s="216">
        <v>45</v>
      </c>
      <c r="N12" s="213">
        <v>0</v>
      </c>
      <c r="O12" s="213" t="s">
        <v>514</v>
      </c>
      <c r="P12" s="213">
        <v>156916523</v>
      </c>
      <c r="Q12" s="213" t="s">
        <v>515</v>
      </c>
      <c r="R12" s="213" t="s">
        <v>516</v>
      </c>
    </row>
    <row r="13" spans="1:18" ht="24" x14ac:dyDescent="0.25">
      <c r="A13" s="212" t="s">
        <v>510</v>
      </c>
      <c r="B13" s="213">
        <v>12</v>
      </c>
      <c r="C13" s="214" t="s">
        <v>533</v>
      </c>
      <c r="D13" s="215">
        <v>469910001012</v>
      </c>
      <c r="E13" s="216">
        <v>1844.12</v>
      </c>
      <c r="F13" s="216">
        <v>1503.31</v>
      </c>
      <c r="G13" s="216">
        <v>5</v>
      </c>
      <c r="H13" s="216" t="s">
        <v>518</v>
      </c>
      <c r="I13" s="216" t="s">
        <v>513</v>
      </c>
      <c r="J13" s="216">
        <v>1991</v>
      </c>
      <c r="K13" s="216">
        <v>30</v>
      </c>
      <c r="L13" s="213">
        <v>0</v>
      </c>
      <c r="M13" s="216">
        <v>30</v>
      </c>
      <c r="N13" s="213">
        <v>0</v>
      </c>
      <c r="O13" s="213" t="s">
        <v>514</v>
      </c>
      <c r="P13" s="213">
        <v>156916523</v>
      </c>
      <c r="Q13" s="213" t="s">
        <v>515</v>
      </c>
      <c r="R13" s="213" t="s">
        <v>516</v>
      </c>
    </row>
    <row r="14" spans="1:18" ht="24" x14ac:dyDescent="0.25">
      <c r="A14" s="212" t="s">
        <v>510</v>
      </c>
      <c r="B14" s="213">
        <v>13</v>
      </c>
      <c r="C14" s="214" t="s">
        <v>534</v>
      </c>
      <c r="D14" s="215">
        <v>469890002017</v>
      </c>
      <c r="E14" s="216">
        <v>2809.68</v>
      </c>
      <c r="F14" s="216">
        <v>2326.56</v>
      </c>
      <c r="G14" s="216">
        <v>5</v>
      </c>
      <c r="H14" s="216" t="s">
        <v>512</v>
      </c>
      <c r="I14" s="216" t="s">
        <v>513</v>
      </c>
      <c r="J14" s="216">
        <v>1989</v>
      </c>
      <c r="K14" s="216">
        <v>45</v>
      </c>
      <c r="L14" s="213">
        <v>0</v>
      </c>
      <c r="M14" s="216">
        <v>45</v>
      </c>
      <c r="N14" s="213">
        <v>0</v>
      </c>
      <c r="O14" s="213" t="s">
        <v>514</v>
      </c>
      <c r="P14" s="213">
        <v>156916523</v>
      </c>
      <c r="Q14" s="213" t="s">
        <v>515</v>
      </c>
      <c r="R14" s="213" t="s">
        <v>516</v>
      </c>
    </row>
    <row r="15" spans="1:18" ht="24" x14ac:dyDescent="0.25">
      <c r="A15" s="212" t="s">
        <v>510</v>
      </c>
      <c r="B15" s="213">
        <v>14</v>
      </c>
      <c r="C15" s="214" t="s">
        <v>535</v>
      </c>
      <c r="D15" s="215">
        <v>469890003014</v>
      </c>
      <c r="E15" s="216">
        <v>2823.14</v>
      </c>
      <c r="F15" s="216">
        <v>2323.35</v>
      </c>
      <c r="G15" s="216">
        <v>5</v>
      </c>
      <c r="H15" s="216" t="s">
        <v>512</v>
      </c>
      <c r="I15" s="216" t="s">
        <v>513</v>
      </c>
      <c r="J15" s="216">
        <v>1989</v>
      </c>
      <c r="K15" s="216">
        <v>45</v>
      </c>
      <c r="L15" s="213">
        <v>0</v>
      </c>
      <c r="M15" s="216">
        <v>45</v>
      </c>
      <c r="N15" s="213">
        <v>0</v>
      </c>
      <c r="O15" s="213" t="s">
        <v>514</v>
      </c>
      <c r="P15" s="213">
        <v>156916523</v>
      </c>
      <c r="Q15" s="213" t="s">
        <v>515</v>
      </c>
      <c r="R15" s="213" t="s">
        <v>516</v>
      </c>
    </row>
    <row r="16" spans="1:18" ht="24" x14ac:dyDescent="0.25">
      <c r="A16" s="212" t="s">
        <v>510</v>
      </c>
      <c r="B16" s="213">
        <v>15</v>
      </c>
      <c r="C16" s="214" t="s">
        <v>536</v>
      </c>
      <c r="D16" s="215">
        <v>469880002012</v>
      </c>
      <c r="E16" s="216">
        <v>4821.74</v>
      </c>
      <c r="F16" s="216">
        <v>4024.61</v>
      </c>
      <c r="G16" s="216">
        <v>5</v>
      </c>
      <c r="H16" s="216" t="s">
        <v>512</v>
      </c>
      <c r="I16" s="216" t="s">
        <v>513</v>
      </c>
      <c r="J16" s="216">
        <v>1988</v>
      </c>
      <c r="K16" s="216">
        <v>75</v>
      </c>
      <c r="L16" s="213">
        <v>0</v>
      </c>
      <c r="M16" s="216">
        <v>75</v>
      </c>
      <c r="N16" s="213">
        <v>0</v>
      </c>
      <c r="O16" s="213" t="s">
        <v>514</v>
      </c>
      <c r="P16" s="213">
        <v>156916523</v>
      </c>
      <c r="Q16" s="213" t="s">
        <v>515</v>
      </c>
      <c r="R16" s="213" t="s">
        <v>516</v>
      </c>
    </row>
    <row r="17" spans="1:18" ht="24" x14ac:dyDescent="0.25">
      <c r="A17" s="212" t="s">
        <v>510</v>
      </c>
      <c r="B17" s="213">
        <v>16</v>
      </c>
      <c r="C17" s="214" t="s">
        <v>537</v>
      </c>
      <c r="D17" s="215">
        <v>469890004011</v>
      </c>
      <c r="E17" s="216">
        <v>2831.98</v>
      </c>
      <c r="F17" s="216">
        <v>2350.3000000000002</v>
      </c>
      <c r="G17" s="216">
        <v>5</v>
      </c>
      <c r="H17" s="216" t="s">
        <v>518</v>
      </c>
      <c r="I17" s="216" t="s">
        <v>513</v>
      </c>
      <c r="J17" s="216">
        <v>1989</v>
      </c>
      <c r="K17" s="216">
        <v>45</v>
      </c>
      <c r="L17" s="213">
        <v>0</v>
      </c>
      <c r="M17" s="216">
        <v>45</v>
      </c>
      <c r="N17" s="213">
        <v>0</v>
      </c>
      <c r="O17" s="213" t="s">
        <v>514</v>
      </c>
      <c r="P17" s="213">
        <v>156916523</v>
      </c>
      <c r="Q17" s="213" t="s">
        <v>515</v>
      </c>
      <c r="R17" s="213" t="s">
        <v>516</v>
      </c>
    </row>
    <row r="18" spans="1:18" ht="24" x14ac:dyDescent="0.25">
      <c r="A18" s="212" t="s">
        <v>510</v>
      </c>
      <c r="B18" s="213">
        <v>17</v>
      </c>
      <c r="C18" s="214" t="s">
        <v>538</v>
      </c>
      <c r="D18" s="215">
        <v>469880003010</v>
      </c>
      <c r="E18" s="216">
        <v>2860.99</v>
      </c>
      <c r="F18" s="216">
        <v>2325.7199999999998</v>
      </c>
      <c r="G18" s="216">
        <v>5</v>
      </c>
      <c r="H18" s="216" t="s">
        <v>518</v>
      </c>
      <c r="I18" s="216" t="s">
        <v>524</v>
      </c>
      <c r="J18" s="216">
        <v>1988</v>
      </c>
      <c r="K18" s="216">
        <v>62</v>
      </c>
      <c r="L18" s="213">
        <v>3</v>
      </c>
      <c r="M18" s="216">
        <v>62</v>
      </c>
      <c r="N18" s="213">
        <v>3</v>
      </c>
      <c r="O18" s="213" t="s">
        <v>514</v>
      </c>
      <c r="P18" s="213">
        <v>156916523</v>
      </c>
      <c r="Q18" s="213" t="s">
        <v>515</v>
      </c>
      <c r="R18" s="213" t="s">
        <v>516</v>
      </c>
    </row>
    <row r="19" spans="1:18" ht="24" x14ac:dyDescent="0.25">
      <c r="A19" s="212" t="s">
        <v>510</v>
      </c>
      <c r="B19" s="213">
        <v>18</v>
      </c>
      <c r="C19" s="214" t="s">
        <v>539</v>
      </c>
      <c r="D19" s="215">
        <v>469880004018</v>
      </c>
      <c r="E19" s="216">
        <v>2887.92</v>
      </c>
      <c r="F19" s="216">
        <v>2390.73</v>
      </c>
      <c r="G19" s="216">
        <v>5</v>
      </c>
      <c r="H19" s="216" t="s">
        <v>512</v>
      </c>
      <c r="I19" s="216" t="s">
        <v>513</v>
      </c>
      <c r="J19" s="216">
        <v>1988</v>
      </c>
      <c r="K19" s="216">
        <v>45</v>
      </c>
      <c r="L19" s="213">
        <v>0</v>
      </c>
      <c r="M19" s="216">
        <v>45</v>
      </c>
      <c r="N19" s="216">
        <v>0</v>
      </c>
      <c r="O19" s="213" t="s">
        <v>514</v>
      </c>
      <c r="P19" s="213">
        <v>156916523</v>
      </c>
      <c r="Q19" s="213" t="s">
        <v>515</v>
      </c>
      <c r="R19" s="213" t="s">
        <v>516</v>
      </c>
    </row>
    <row r="20" spans="1:18" ht="24" x14ac:dyDescent="0.25">
      <c r="A20" s="212" t="s">
        <v>510</v>
      </c>
      <c r="B20" s="213">
        <v>19</v>
      </c>
      <c r="C20" s="214" t="s">
        <v>540</v>
      </c>
      <c r="D20" s="215">
        <v>469780001011</v>
      </c>
      <c r="E20" s="216">
        <v>2914.72</v>
      </c>
      <c r="F20" s="216">
        <v>2359.12</v>
      </c>
      <c r="G20" s="216">
        <v>6</v>
      </c>
      <c r="H20" s="216" t="s">
        <v>527</v>
      </c>
      <c r="I20" s="216" t="s">
        <v>519</v>
      </c>
      <c r="J20" s="216">
        <v>1978</v>
      </c>
      <c r="K20" s="216">
        <v>44</v>
      </c>
      <c r="L20" s="213">
        <v>0</v>
      </c>
      <c r="M20" s="216">
        <v>44</v>
      </c>
      <c r="N20" s="213">
        <v>0</v>
      </c>
      <c r="O20" s="213" t="s">
        <v>514</v>
      </c>
      <c r="P20" s="213">
        <v>156916523</v>
      </c>
      <c r="Q20" s="213" t="s">
        <v>515</v>
      </c>
      <c r="R20" s="213" t="s">
        <v>516</v>
      </c>
    </row>
    <row r="21" spans="1:18" ht="24" x14ac:dyDescent="0.25">
      <c r="A21" s="212" t="s">
        <v>510</v>
      </c>
      <c r="B21" s="213">
        <v>20</v>
      </c>
      <c r="C21" s="214" t="s">
        <v>541</v>
      </c>
      <c r="D21" s="215">
        <v>469640004014</v>
      </c>
      <c r="E21" s="216">
        <v>3356.38</v>
      </c>
      <c r="F21" s="216">
        <v>2711.42</v>
      </c>
      <c r="G21" s="216">
        <v>5</v>
      </c>
      <c r="H21" s="216" t="s">
        <v>518</v>
      </c>
      <c r="I21" s="216" t="s">
        <v>542</v>
      </c>
      <c r="J21" s="216">
        <v>1964</v>
      </c>
      <c r="K21" s="216">
        <v>61</v>
      </c>
      <c r="L21" s="213">
        <v>0</v>
      </c>
      <c r="M21" s="216">
        <v>61</v>
      </c>
      <c r="N21" s="213">
        <v>0</v>
      </c>
      <c r="O21" s="213" t="s">
        <v>514</v>
      </c>
      <c r="P21" s="213">
        <v>156916523</v>
      </c>
      <c r="Q21" s="213" t="s">
        <v>515</v>
      </c>
      <c r="R21" s="213" t="s">
        <v>516</v>
      </c>
    </row>
    <row r="22" spans="1:18" ht="24" x14ac:dyDescent="0.25">
      <c r="A22" s="212" t="s">
        <v>510</v>
      </c>
      <c r="B22" s="213">
        <v>21</v>
      </c>
      <c r="C22" s="214" t="s">
        <v>543</v>
      </c>
      <c r="D22" s="215">
        <v>469650006013</v>
      </c>
      <c r="E22" s="216">
        <v>3411.83</v>
      </c>
      <c r="F22" s="216">
        <v>2711.42</v>
      </c>
      <c r="G22" s="216">
        <v>5</v>
      </c>
      <c r="H22" s="216" t="s">
        <v>518</v>
      </c>
      <c r="I22" s="216" t="s">
        <v>542</v>
      </c>
      <c r="J22" s="216">
        <v>1965</v>
      </c>
      <c r="K22" s="216">
        <v>61</v>
      </c>
      <c r="L22" s="213">
        <v>0</v>
      </c>
      <c r="M22" s="216">
        <v>60</v>
      </c>
      <c r="N22" s="213">
        <v>0</v>
      </c>
      <c r="O22" s="213" t="s">
        <v>514</v>
      </c>
      <c r="P22" s="213">
        <v>156916523</v>
      </c>
      <c r="Q22" s="213" t="s">
        <v>515</v>
      </c>
      <c r="R22" s="213" t="s">
        <v>516</v>
      </c>
    </row>
    <row r="23" spans="1:18" ht="24" x14ac:dyDescent="0.25">
      <c r="A23" s="212" t="s">
        <v>510</v>
      </c>
      <c r="B23" s="213">
        <v>22</v>
      </c>
      <c r="C23" s="214" t="s">
        <v>544</v>
      </c>
      <c r="D23" s="215">
        <v>469850011010</v>
      </c>
      <c r="E23" s="216">
        <v>3426.97</v>
      </c>
      <c r="F23" s="216">
        <v>2977.72</v>
      </c>
      <c r="G23" s="216">
        <v>9</v>
      </c>
      <c r="H23" s="216" t="s">
        <v>518</v>
      </c>
      <c r="I23" s="216" t="s">
        <v>519</v>
      </c>
      <c r="J23" s="216">
        <v>1985</v>
      </c>
      <c r="K23" s="216">
        <v>1</v>
      </c>
      <c r="L23" s="213">
        <v>0</v>
      </c>
      <c r="M23" s="216">
        <v>54</v>
      </c>
      <c r="N23" s="213">
        <v>0</v>
      </c>
      <c r="O23" s="213" t="s">
        <v>514</v>
      </c>
      <c r="P23" s="213">
        <v>156916523</v>
      </c>
      <c r="Q23" s="213" t="s">
        <v>515</v>
      </c>
      <c r="R23" s="213" t="s">
        <v>516</v>
      </c>
    </row>
    <row r="24" spans="1:18" ht="24" x14ac:dyDescent="0.25">
      <c r="A24" s="212" t="s">
        <v>510</v>
      </c>
      <c r="B24" s="213">
        <v>23</v>
      </c>
      <c r="C24" s="214" t="s">
        <v>545</v>
      </c>
      <c r="D24" s="215">
        <v>469840013018</v>
      </c>
      <c r="E24" s="216">
        <v>4836.91</v>
      </c>
      <c r="F24" s="216">
        <v>4024.6</v>
      </c>
      <c r="G24" s="216">
        <v>5</v>
      </c>
      <c r="H24" s="216" t="s">
        <v>518</v>
      </c>
      <c r="I24" s="216" t="s">
        <v>513</v>
      </c>
      <c r="J24" s="216">
        <v>1984</v>
      </c>
      <c r="K24" s="216">
        <v>75</v>
      </c>
      <c r="L24" s="213">
        <v>0</v>
      </c>
      <c r="M24" s="216">
        <v>75</v>
      </c>
      <c r="N24" s="213">
        <v>0</v>
      </c>
      <c r="O24" s="213" t="s">
        <v>514</v>
      </c>
      <c r="P24" s="213">
        <v>156916523</v>
      </c>
      <c r="Q24" s="213" t="s">
        <v>515</v>
      </c>
      <c r="R24" s="213" t="s">
        <v>516</v>
      </c>
    </row>
    <row r="25" spans="1:18" ht="24" x14ac:dyDescent="0.25">
      <c r="A25" s="212" t="s">
        <v>510</v>
      </c>
      <c r="B25" s="213">
        <v>24</v>
      </c>
      <c r="C25" s="214" t="s">
        <v>546</v>
      </c>
      <c r="D25" s="215">
        <v>469850012017</v>
      </c>
      <c r="E25" s="216">
        <v>2791.56</v>
      </c>
      <c r="F25" s="216">
        <v>2330.4299999999998</v>
      </c>
      <c r="G25" s="216">
        <v>5</v>
      </c>
      <c r="H25" s="216" t="s">
        <v>518</v>
      </c>
      <c r="I25" s="216" t="s">
        <v>519</v>
      </c>
      <c r="J25" s="216">
        <v>1985</v>
      </c>
      <c r="K25" s="216">
        <v>45</v>
      </c>
      <c r="L25" s="213">
        <v>0</v>
      </c>
      <c r="M25" s="216">
        <v>45</v>
      </c>
      <c r="N25" s="213">
        <v>0</v>
      </c>
      <c r="O25" s="213" t="s">
        <v>514</v>
      </c>
      <c r="P25" s="213">
        <v>156916523</v>
      </c>
      <c r="Q25" s="213" t="s">
        <v>515</v>
      </c>
      <c r="R25" s="213" t="s">
        <v>516</v>
      </c>
    </row>
    <row r="26" spans="1:18" ht="24" x14ac:dyDescent="0.25">
      <c r="A26" s="212" t="s">
        <v>510</v>
      </c>
      <c r="B26" s="213">
        <v>25</v>
      </c>
      <c r="C26" s="214" t="s">
        <v>547</v>
      </c>
      <c r="D26" s="215">
        <v>469860013019</v>
      </c>
      <c r="E26" s="216">
        <v>2816.39</v>
      </c>
      <c r="F26" s="216">
        <v>2324.9</v>
      </c>
      <c r="G26" s="216">
        <v>5</v>
      </c>
      <c r="H26" s="216" t="s">
        <v>518</v>
      </c>
      <c r="I26" s="216" t="s">
        <v>513</v>
      </c>
      <c r="J26" s="216">
        <v>1986</v>
      </c>
      <c r="K26" s="216">
        <v>45</v>
      </c>
      <c r="L26" s="213">
        <v>0</v>
      </c>
      <c r="M26" s="216">
        <v>45</v>
      </c>
      <c r="N26" s="213">
        <v>0</v>
      </c>
      <c r="O26" s="213" t="s">
        <v>514</v>
      </c>
      <c r="P26" s="213">
        <v>156916523</v>
      </c>
      <c r="Q26" s="213" t="s">
        <v>515</v>
      </c>
      <c r="R26" s="213" t="s">
        <v>516</v>
      </c>
    </row>
    <row r="27" spans="1:18" ht="24" x14ac:dyDescent="0.25">
      <c r="A27" s="212" t="s">
        <v>510</v>
      </c>
      <c r="B27" s="213">
        <v>26</v>
      </c>
      <c r="C27" s="214" t="s">
        <v>548</v>
      </c>
      <c r="D27" s="215">
        <v>469870006019</v>
      </c>
      <c r="E27" s="216">
        <v>1855.73</v>
      </c>
      <c r="F27" s="216">
        <v>1515.9</v>
      </c>
      <c r="G27" s="216">
        <v>5</v>
      </c>
      <c r="H27" s="216" t="s">
        <v>518</v>
      </c>
      <c r="I27" s="216" t="s">
        <v>513</v>
      </c>
      <c r="J27" s="216">
        <v>1987</v>
      </c>
      <c r="K27" s="216">
        <v>30</v>
      </c>
      <c r="L27" s="213">
        <v>0</v>
      </c>
      <c r="M27" s="216">
        <v>30</v>
      </c>
      <c r="N27" s="213">
        <v>0</v>
      </c>
      <c r="O27" s="213" t="s">
        <v>514</v>
      </c>
      <c r="P27" s="213">
        <v>156916523</v>
      </c>
      <c r="Q27" s="213" t="s">
        <v>515</v>
      </c>
      <c r="R27" s="213" t="s">
        <v>516</v>
      </c>
    </row>
    <row r="28" spans="1:18" ht="24" x14ac:dyDescent="0.25">
      <c r="A28" s="212" t="s">
        <v>510</v>
      </c>
      <c r="B28" s="213">
        <v>27</v>
      </c>
      <c r="C28" s="214" t="s">
        <v>549</v>
      </c>
      <c r="D28" s="215">
        <v>469900005015</v>
      </c>
      <c r="E28" s="216">
        <v>1495.72</v>
      </c>
      <c r="F28" s="216">
        <v>1225.3699999999999</v>
      </c>
      <c r="G28" s="216">
        <v>6</v>
      </c>
      <c r="H28" s="216" t="s">
        <v>550</v>
      </c>
      <c r="I28" s="216" t="s">
        <v>513</v>
      </c>
      <c r="J28" s="216">
        <v>1990</v>
      </c>
      <c r="K28" s="216">
        <v>22</v>
      </c>
      <c r="L28" s="213">
        <v>0</v>
      </c>
      <c r="M28" s="216">
        <v>22</v>
      </c>
      <c r="N28" s="213">
        <v>0</v>
      </c>
      <c r="O28" s="213" t="s">
        <v>514</v>
      </c>
      <c r="P28" s="213">
        <v>156916523</v>
      </c>
      <c r="Q28" s="213" t="s">
        <v>515</v>
      </c>
      <c r="R28" s="213" t="s">
        <v>516</v>
      </c>
    </row>
    <row r="29" spans="1:18" ht="24" x14ac:dyDescent="0.25">
      <c r="A29" s="212" t="s">
        <v>510</v>
      </c>
      <c r="B29" s="213">
        <v>28</v>
      </c>
      <c r="C29" s="214" t="s">
        <v>551</v>
      </c>
      <c r="D29" s="215">
        <v>469890012013</v>
      </c>
      <c r="E29" s="216">
        <v>1225.78</v>
      </c>
      <c r="F29" s="216">
        <v>999.61</v>
      </c>
      <c r="G29" s="216">
        <v>5</v>
      </c>
      <c r="H29" s="216" t="s">
        <v>527</v>
      </c>
      <c r="I29" s="216" t="s">
        <v>519</v>
      </c>
      <c r="J29" s="216">
        <v>1989</v>
      </c>
      <c r="K29" s="216">
        <v>18</v>
      </c>
      <c r="L29" s="213">
        <v>0</v>
      </c>
      <c r="M29" s="216">
        <v>18</v>
      </c>
      <c r="N29" s="213">
        <v>0</v>
      </c>
      <c r="O29" s="213" t="s">
        <v>514</v>
      </c>
      <c r="P29" s="213">
        <v>156916523</v>
      </c>
      <c r="Q29" s="213" t="s">
        <v>515</v>
      </c>
      <c r="R29" s="213" t="s">
        <v>516</v>
      </c>
    </row>
    <row r="30" spans="1:18" ht="24" x14ac:dyDescent="0.25">
      <c r="A30" s="212" t="s">
        <v>510</v>
      </c>
      <c r="B30" s="213">
        <v>29</v>
      </c>
      <c r="C30" s="214" t="s">
        <v>552</v>
      </c>
      <c r="D30" s="215">
        <v>469830004017</v>
      </c>
      <c r="E30" s="216">
        <v>2836.63</v>
      </c>
      <c r="F30" s="216">
        <v>2271.0100000000002</v>
      </c>
      <c r="G30" s="216">
        <v>5</v>
      </c>
      <c r="H30" s="216" t="s">
        <v>512</v>
      </c>
      <c r="I30" s="216" t="s">
        <v>513</v>
      </c>
      <c r="J30" s="216">
        <v>1983</v>
      </c>
      <c r="K30" s="216">
        <v>44</v>
      </c>
      <c r="L30" s="213">
        <v>1</v>
      </c>
      <c r="M30" s="216">
        <v>44</v>
      </c>
      <c r="N30" s="213">
        <v>1</v>
      </c>
      <c r="O30" s="213" t="s">
        <v>514</v>
      </c>
      <c r="P30" s="213">
        <v>156916523</v>
      </c>
      <c r="Q30" s="213" t="s">
        <v>515</v>
      </c>
      <c r="R30" s="213" t="s">
        <v>516</v>
      </c>
    </row>
    <row r="31" spans="1:18" ht="24" x14ac:dyDescent="0.25">
      <c r="A31" s="212" t="s">
        <v>510</v>
      </c>
      <c r="B31" s="213">
        <v>30</v>
      </c>
      <c r="C31" s="214" t="s">
        <v>553</v>
      </c>
      <c r="D31" s="215">
        <v>469930003012</v>
      </c>
      <c r="E31" s="216">
        <v>2204.8000000000002</v>
      </c>
      <c r="F31" s="216">
        <v>1984.33</v>
      </c>
      <c r="G31" s="216">
        <v>10</v>
      </c>
      <c r="H31" s="216" t="s">
        <v>550</v>
      </c>
      <c r="I31" s="216" t="s">
        <v>513</v>
      </c>
      <c r="J31" s="216">
        <v>1993</v>
      </c>
      <c r="K31" s="216">
        <v>38</v>
      </c>
      <c r="L31" s="213">
        <v>0</v>
      </c>
      <c r="M31" s="216">
        <v>38</v>
      </c>
      <c r="N31" s="213">
        <v>0</v>
      </c>
      <c r="O31" s="213" t="s">
        <v>514</v>
      </c>
      <c r="P31" s="213">
        <v>156916523</v>
      </c>
      <c r="Q31" s="213" t="s">
        <v>515</v>
      </c>
      <c r="R31" s="213" t="s">
        <v>516</v>
      </c>
    </row>
    <row r="32" spans="1:18" ht="24" x14ac:dyDescent="0.25">
      <c r="A32" s="212" t="s">
        <v>510</v>
      </c>
      <c r="B32" s="213">
        <v>31</v>
      </c>
      <c r="C32" s="214" t="s">
        <v>554</v>
      </c>
      <c r="D32" s="215">
        <v>469970022015</v>
      </c>
      <c r="E32" s="216">
        <v>1417.29</v>
      </c>
      <c r="F32" s="216">
        <v>1184.83</v>
      </c>
      <c r="G32" s="216">
        <v>6</v>
      </c>
      <c r="H32" s="216" t="s">
        <v>527</v>
      </c>
      <c r="I32" s="216" t="s">
        <v>513</v>
      </c>
      <c r="J32" s="216">
        <v>1997</v>
      </c>
      <c r="K32" s="216">
        <v>22</v>
      </c>
      <c r="L32" s="213">
        <v>0</v>
      </c>
      <c r="M32" s="216">
        <v>22</v>
      </c>
      <c r="N32" s="213">
        <v>0</v>
      </c>
      <c r="O32" s="213" t="s">
        <v>514</v>
      </c>
      <c r="P32" s="213">
        <v>156916523</v>
      </c>
      <c r="Q32" s="213" t="s">
        <v>515</v>
      </c>
      <c r="R32" s="213" t="s">
        <v>516</v>
      </c>
    </row>
    <row r="33" spans="1:18" ht="24" x14ac:dyDescent="0.25">
      <c r="A33" s="212" t="s">
        <v>510</v>
      </c>
      <c r="B33" s="213">
        <v>32</v>
      </c>
      <c r="C33" s="214" t="s">
        <v>555</v>
      </c>
      <c r="D33" s="215">
        <v>469920007019</v>
      </c>
      <c r="E33" s="216">
        <v>1002.62</v>
      </c>
      <c r="F33" s="216">
        <v>773.3</v>
      </c>
      <c r="G33" s="216">
        <v>3</v>
      </c>
      <c r="H33" s="216" t="s">
        <v>550</v>
      </c>
      <c r="I33" s="216" t="s">
        <v>513</v>
      </c>
      <c r="J33" s="216">
        <v>1992</v>
      </c>
      <c r="K33" s="216">
        <v>14</v>
      </c>
      <c r="L33" s="213">
        <v>0</v>
      </c>
      <c r="M33" s="216">
        <v>14</v>
      </c>
      <c r="N33" s="213">
        <v>0</v>
      </c>
      <c r="O33" s="213" t="s">
        <v>514</v>
      </c>
      <c r="P33" s="213">
        <v>156916523</v>
      </c>
      <c r="Q33" s="213" t="s">
        <v>515</v>
      </c>
      <c r="R33" s="213" t="s">
        <v>516</v>
      </c>
    </row>
    <row r="34" spans="1:18" ht="24" x14ac:dyDescent="0.25">
      <c r="A34" s="212" t="s">
        <v>510</v>
      </c>
      <c r="B34" s="213">
        <v>33</v>
      </c>
      <c r="C34" s="214" t="s">
        <v>556</v>
      </c>
      <c r="D34" s="215">
        <v>469910004011</v>
      </c>
      <c r="E34" s="216">
        <v>1857.01</v>
      </c>
      <c r="F34" s="216">
        <v>1441.23</v>
      </c>
      <c r="G34" s="216">
        <v>4</v>
      </c>
      <c r="H34" s="216" t="s">
        <v>550</v>
      </c>
      <c r="I34" s="216" t="s">
        <v>513</v>
      </c>
      <c r="J34" s="216">
        <v>1991</v>
      </c>
      <c r="K34" s="216">
        <v>25</v>
      </c>
      <c r="L34" s="213">
        <v>0</v>
      </c>
      <c r="M34" s="216">
        <v>25</v>
      </c>
      <c r="N34" s="213">
        <v>0</v>
      </c>
      <c r="O34" s="213" t="s">
        <v>514</v>
      </c>
      <c r="P34" s="213">
        <v>156916523</v>
      </c>
      <c r="Q34" s="213" t="s">
        <v>515</v>
      </c>
      <c r="R34" s="213" t="s">
        <v>516</v>
      </c>
    </row>
    <row r="35" spans="1:18" ht="24" x14ac:dyDescent="0.25">
      <c r="A35" s="212" t="s">
        <v>510</v>
      </c>
      <c r="B35" s="213">
        <v>34</v>
      </c>
      <c r="C35" s="214" t="s">
        <v>557</v>
      </c>
      <c r="D35" s="215">
        <v>469830005014</v>
      </c>
      <c r="E35" s="216">
        <v>4790.8</v>
      </c>
      <c r="F35" s="216">
        <v>3899.65</v>
      </c>
      <c r="G35" s="216">
        <v>5</v>
      </c>
      <c r="H35" s="216" t="s">
        <v>523</v>
      </c>
      <c r="I35" s="216" t="s">
        <v>524</v>
      </c>
      <c r="J35" s="216">
        <v>1983</v>
      </c>
      <c r="K35" s="216">
        <v>73</v>
      </c>
      <c r="L35" s="213">
        <v>2</v>
      </c>
      <c r="M35" s="216">
        <v>73</v>
      </c>
      <c r="N35" s="213">
        <v>2</v>
      </c>
      <c r="O35" s="213" t="s">
        <v>514</v>
      </c>
      <c r="P35" s="213">
        <v>156916523</v>
      </c>
      <c r="Q35" s="213" t="s">
        <v>515</v>
      </c>
      <c r="R35" s="213" t="s">
        <v>516</v>
      </c>
    </row>
    <row r="36" spans="1:18" ht="24" x14ac:dyDescent="0.25">
      <c r="A36" s="212" t="s">
        <v>510</v>
      </c>
      <c r="B36" s="213">
        <v>35</v>
      </c>
      <c r="C36" s="214" t="s">
        <v>558</v>
      </c>
      <c r="D36" s="215">
        <v>469810001016</v>
      </c>
      <c r="E36" s="216">
        <v>2813.4</v>
      </c>
      <c r="F36" s="216">
        <v>2358.98</v>
      </c>
      <c r="G36" s="216">
        <v>5</v>
      </c>
      <c r="H36" s="216" t="s">
        <v>518</v>
      </c>
      <c r="I36" s="216" t="s">
        <v>513</v>
      </c>
      <c r="J36" s="216">
        <v>1981</v>
      </c>
      <c r="K36" s="216">
        <v>45</v>
      </c>
      <c r="L36" s="213">
        <v>0</v>
      </c>
      <c r="M36" s="216">
        <v>45</v>
      </c>
      <c r="N36" s="213">
        <v>0</v>
      </c>
      <c r="O36" s="213" t="s">
        <v>514</v>
      </c>
      <c r="P36" s="213">
        <v>156916523</v>
      </c>
      <c r="Q36" s="213" t="s">
        <v>515</v>
      </c>
      <c r="R36" s="213" t="s">
        <v>516</v>
      </c>
    </row>
    <row r="37" spans="1:18" ht="24" x14ac:dyDescent="0.25">
      <c r="A37" s="212" t="s">
        <v>510</v>
      </c>
      <c r="B37" s="213">
        <v>36</v>
      </c>
      <c r="C37" s="214" t="s">
        <v>559</v>
      </c>
      <c r="D37" s="215">
        <v>469840006016</v>
      </c>
      <c r="E37" s="216">
        <v>3327.16</v>
      </c>
      <c r="F37" s="216">
        <v>2988.8</v>
      </c>
      <c r="G37" s="216">
        <v>9</v>
      </c>
      <c r="H37" s="216" t="s">
        <v>512</v>
      </c>
      <c r="I37" s="216" t="s">
        <v>513</v>
      </c>
      <c r="J37" s="216">
        <v>1984</v>
      </c>
      <c r="K37" s="216">
        <v>54</v>
      </c>
      <c r="L37" s="213">
        <v>0</v>
      </c>
      <c r="M37" s="216">
        <v>54</v>
      </c>
      <c r="N37" s="213">
        <v>0</v>
      </c>
      <c r="O37" s="213" t="s">
        <v>514</v>
      </c>
      <c r="P37" s="213">
        <v>156916523</v>
      </c>
      <c r="Q37" s="213" t="s">
        <v>515</v>
      </c>
      <c r="R37" s="213" t="s">
        <v>516</v>
      </c>
    </row>
    <row r="38" spans="1:18" ht="24" x14ac:dyDescent="0.25">
      <c r="A38" s="212" t="s">
        <v>510</v>
      </c>
      <c r="B38" s="213">
        <v>37</v>
      </c>
      <c r="C38" s="214" t="s">
        <v>560</v>
      </c>
      <c r="D38" s="215">
        <v>469850002012</v>
      </c>
      <c r="E38" s="216">
        <v>2813.11</v>
      </c>
      <c r="F38" s="216">
        <v>2323.89</v>
      </c>
      <c r="G38" s="216">
        <v>5</v>
      </c>
      <c r="H38" s="216" t="s">
        <v>518</v>
      </c>
      <c r="I38" s="216" t="s">
        <v>513</v>
      </c>
      <c r="J38" s="216">
        <v>1985</v>
      </c>
      <c r="K38" s="216">
        <v>45</v>
      </c>
      <c r="L38" s="213">
        <v>0</v>
      </c>
      <c r="M38" s="216">
        <v>45</v>
      </c>
      <c r="N38" s="213">
        <v>0</v>
      </c>
      <c r="O38" s="213" t="s">
        <v>514</v>
      </c>
      <c r="P38" s="213">
        <v>156916523</v>
      </c>
      <c r="Q38" s="213" t="s">
        <v>515</v>
      </c>
      <c r="R38" s="213" t="s">
        <v>516</v>
      </c>
    </row>
    <row r="39" spans="1:18" ht="24" x14ac:dyDescent="0.25">
      <c r="A39" s="212" t="s">
        <v>510</v>
      </c>
      <c r="B39" s="213">
        <v>38</v>
      </c>
      <c r="C39" s="214" t="s">
        <v>561</v>
      </c>
      <c r="D39" s="215">
        <v>469900004018</v>
      </c>
      <c r="E39" s="216">
        <v>1851.93</v>
      </c>
      <c r="F39" s="216">
        <v>1438.34</v>
      </c>
      <c r="G39" s="216">
        <v>4</v>
      </c>
      <c r="H39" s="216" t="s">
        <v>550</v>
      </c>
      <c r="I39" s="216" t="s">
        <v>513</v>
      </c>
      <c r="J39" s="216">
        <v>1990</v>
      </c>
      <c r="K39" s="216">
        <v>22</v>
      </c>
      <c r="L39" s="213">
        <v>0</v>
      </c>
      <c r="M39" s="216">
        <v>22</v>
      </c>
      <c r="N39" s="213">
        <v>0</v>
      </c>
      <c r="O39" s="213" t="s">
        <v>514</v>
      </c>
      <c r="P39" s="213">
        <v>156916523</v>
      </c>
      <c r="Q39" s="213" t="s">
        <v>515</v>
      </c>
      <c r="R39" s="213" t="s">
        <v>516</v>
      </c>
    </row>
    <row r="40" spans="1:18" ht="24" x14ac:dyDescent="0.25">
      <c r="A40" s="212" t="s">
        <v>510</v>
      </c>
      <c r="B40" s="213">
        <v>39</v>
      </c>
      <c r="C40" s="214" t="s">
        <v>562</v>
      </c>
      <c r="D40" s="215">
        <v>469830007014</v>
      </c>
      <c r="E40" s="216">
        <v>3315.49</v>
      </c>
      <c r="F40" s="216">
        <v>2986.75</v>
      </c>
      <c r="G40" s="216">
        <v>9</v>
      </c>
      <c r="H40" s="216" t="s">
        <v>518</v>
      </c>
      <c r="I40" s="216" t="s">
        <v>519</v>
      </c>
      <c r="J40" s="216">
        <v>1983</v>
      </c>
      <c r="K40" s="216">
        <v>54</v>
      </c>
      <c r="L40" s="213">
        <v>0</v>
      </c>
      <c r="M40" s="216">
        <v>54</v>
      </c>
      <c r="N40" s="213">
        <v>0</v>
      </c>
      <c r="O40" s="213" t="s">
        <v>514</v>
      </c>
      <c r="P40" s="213">
        <v>156916523</v>
      </c>
      <c r="Q40" s="213" t="s">
        <v>515</v>
      </c>
      <c r="R40" s="213" t="s">
        <v>516</v>
      </c>
    </row>
    <row r="41" spans="1:18" ht="24" x14ac:dyDescent="0.25">
      <c r="A41" s="212" t="s">
        <v>510</v>
      </c>
      <c r="B41" s="213">
        <v>40</v>
      </c>
      <c r="C41" s="214" t="s">
        <v>563</v>
      </c>
      <c r="D41" s="215">
        <v>469860004010</v>
      </c>
      <c r="E41" s="216">
        <v>2132.41</v>
      </c>
      <c r="F41" s="216">
        <v>1664.04</v>
      </c>
      <c r="G41" s="216">
        <v>5</v>
      </c>
      <c r="H41" s="216" t="s">
        <v>512</v>
      </c>
      <c r="I41" s="216" t="s">
        <v>513</v>
      </c>
      <c r="J41" s="216">
        <v>1986</v>
      </c>
      <c r="K41" s="216">
        <v>40</v>
      </c>
      <c r="L41" s="213">
        <v>0</v>
      </c>
      <c r="M41" s="216">
        <v>40</v>
      </c>
      <c r="N41" s="213">
        <v>0</v>
      </c>
      <c r="O41" s="213" t="s">
        <v>514</v>
      </c>
      <c r="P41" s="213">
        <v>156916523</v>
      </c>
      <c r="Q41" s="213" t="s">
        <v>515</v>
      </c>
      <c r="R41" s="213" t="s">
        <v>516</v>
      </c>
    </row>
    <row r="42" spans="1:18" ht="24" x14ac:dyDescent="0.25">
      <c r="A42" s="212" t="s">
        <v>510</v>
      </c>
      <c r="B42" s="213">
        <v>41</v>
      </c>
      <c r="C42" s="214" t="s">
        <v>564</v>
      </c>
      <c r="D42" s="215">
        <v>469810002013</v>
      </c>
      <c r="E42" s="216">
        <v>4827.3599999999997</v>
      </c>
      <c r="F42" s="216">
        <v>4028.16</v>
      </c>
      <c r="G42" s="216">
        <v>5</v>
      </c>
      <c r="H42" s="216" t="s">
        <v>512</v>
      </c>
      <c r="I42" s="216" t="s">
        <v>513</v>
      </c>
      <c r="J42" s="216">
        <v>1981</v>
      </c>
      <c r="K42" s="216">
        <v>75</v>
      </c>
      <c r="L42" s="213">
        <v>0</v>
      </c>
      <c r="M42" s="216">
        <v>75</v>
      </c>
      <c r="N42" s="213">
        <v>0</v>
      </c>
      <c r="O42" s="213" t="s">
        <v>514</v>
      </c>
      <c r="P42" s="213">
        <v>156916523</v>
      </c>
      <c r="Q42" s="213" t="s">
        <v>515</v>
      </c>
      <c r="R42" s="213" t="s">
        <v>516</v>
      </c>
    </row>
    <row r="43" spans="1:18" ht="24" x14ac:dyDescent="0.25">
      <c r="A43" s="212" t="s">
        <v>510</v>
      </c>
      <c r="B43" s="213">
        <v>42</v>
      </c>
      <c r="C43" s="214" t="s">
        <v>565</v>
      </c>
      <c r="D43" s="215">
        <v>469870002019</v>
      </c>
      <c r="E43" s="216">
        <v>1839.26</v>
      </c>
      <c r="F43" s="216">
        <v>1510.76</v>
      </c>
      <c r="G43" s="216">
        <v>5</v>
      </c>
      <c r="H43" s="216" t="s">
        <v>518</v>
      </c>
      <c r="I43" s="216" t="s">
        <v>519</v>
      </c>
      <c r="J43" s="216">
        <v>1987</v>
      </c>
      <c r="K43" s="216">
        <v>0</v>
      </c>
      <c r="L43" s="216">
        <v>0</v>
      </c>
      <c r="M43" s="216">
        <v>30</v>
      </c>
      <c r="N43" s="216">
        <v>0</v>
      </c>
      <c r="O43" s="213" t="s">
        <v>514</v>
      </c>
      <c r="P43" s="213">
        <v>156916523</v>
      </c>
      <c r="Q43" s="213" t="s">
        <v>515</v>
      </c>
      <c r="R43" s="213" t="s">
        <v>516</v>
      </c>
    </row>
    <row r="44" spans="1:18" ht="24" x14ac:dyDescent="0.25">
      <c r="A44" s="212" t="s">
        <v>510</v>
      </c>
      <c r="B44" s="213">
        <v>43</v>
      </c>
      <c r="C44" s="214" t="s">
        <v>566</v>
      </c>
      <c r="D44" s="215">
        <v>469820003015</v>
      </c>
      <c r="E44" s="216">
        <v>4837.5200000000004</v>
      </c>
      <c r="F44" s="216">
        <v>4081.69</v>
      </c>
      <c r="G44" s="216">
        <v>5</v>
      </c>
      <c r="H44" s="216" t="s">
        <v>567</v>
      </c>
      <c r="I44" s="216" t="s">
        <v>524</v>
      </c>
      <c r="J44" s="216">
        <v>1982</v>
      </c>
      <c r="K44" s="216">
        <v>75</v>
      </c>
      <c r="L44" s="213">
        <v>0</v>
      </c>
      <c r="M44" s="216">
        <v>75</v>
      </c>
      <c r="N44" s="213">
        <v>0</v>
      </c>
      <c r="O44" s="213" t="s">
        <v>514</v>
      </c>
      <c r="P44" s="213">
        <v>156916523</v>
      </c>
      <c r="Q44" s="213" t="s">
        <v>515</v>
      </c>
      <c r="R44" s="213" t="s">
        <v>516</v>
      </c>
    </row>
    <row r="45" spans="1:18" ht="24" x14ac:dyDescent="0.25">
      <c r="A45" s="212" t="s">
        <v>510</v>
      </c>
      <c r="B45" s="213">
        <v>44</v>
      </c>
      <c r="C45" s="214" t="s">
        <v>568</v>
      </c>
      <c r="D45" s="215">
        <v>469860005017</v>
      </c>
      <c r="E45" s="216">
        <v>2125.35</v>
      </c>
      <c r="F45" s="216">
        <v>1663.95</v>
      </c>
      <c r="G45" s="216">
        <v>5</v>
      </c>
      <c r="H45" s="216" t="s">
        <v>512</v>
      </c>
      <c r="I45" s="216" t="s">
        <v>513</v>
      </c>
      <c r="J45" s="216">
        <v>1986</v>
      </c>
      <c r="K45" s="216">
        <v>40</v>
      </c>
      <c r="L45" s="213">
        <v>0</v>
      </c>
      <c r="M45" s="216">
        <v>40</v>
      </c>
      <c r="N45" s="213">
        <v>0</v>
      </c>
      <c r="O45" s="213" t="s">
        <v>514</v>
      </c>
      <c r="P45" s="213">
        <v>156916523</v>
      </c>
      <c r="Q45" s="213" t="s">
        <v>515</v>
      </c>
      <c r="R45" s="213" t="s">
        <v>516</v>
      </c>
    </row>
    <row r="46" spans="1:18" ht="24" x14ac:dyDescent="0.25">
      <c r="A46" s="212" t="s">
        <v>510</v>
      </c>
      <c r="B46" s="213">
        <v>45</v>
      </c>
      <c r="C46" s="214" t="s">
        <v>569</v>
      </c>
      <c r="D46" s="215">
        <v>469820004012</v>
      </c>
      <c r="E46" s="216">
        <v>2781.59</v>
      </c>
      <c r="F46" s="216">
        <v>2313.5</v>
      </c>
      <c r="G46" s="216">
        <v>5</v>
      </c>
      <c r="H46" s="216" t="s">
        <v>512</v>
      </c>
      <c r="I46" s="216" t="s">
        <v>513</v>
      </c>
      <c r="J46" s="216">
        <v>1982</v>
      </c>
      <c r="K46" s="216">
        <v>45</v>
      </c>
      <c r="L46" s="213">
        <v>0</v>
      </c>
      <c r="M46" s="216">
        <v>45</v>
      </c>
      <c r="N46" s="213">
        <v>0</v>
      </c>
      <c r="O46" s="213" t="s">
        <v>514</v>
      </c>
      <c r="P46" s="213">
        <v>156916523</v>
      </c>
      <c r="Q46" s="213" t="s">
        <v>515</v>
      </c>
      <c r="R46" s="213" t="s">
        <v>516</v>
      </c>
    </row>
    <row r="47" spans="1:18" ht="24" x14ac:dyDescent="0.25">
      <c r="A47" s="212" t="s">
        <v>510</v>
      </c>
      <c r="B47" s="213">
        <v>46</v>
      </c>
      <c r="C47" s="214" t="s">
        <v>570</v>
      </c>
      <c r="D47" s="215">
        <v>469860006014</v>
      </c>
      <c r="E47" s="216">
        <v>2190.66</v>
      </c>
      <c r="F47" s="216">
        <v>1658.8</v>
      </c>
      <c r="G47" s="216">
        <v>5</v>
      </c>
      <c r="H47" s="216" t="s">
        <v>512</v>
      </c>
      <c r="I47" s="216" t="s">
        <v>513</v>
      </c>
      <c r="J47" s="216">
        <v>1986</v>
      </c>
      <c r="K47" s="216">
        <v>40</v>
      </c>
      <c r="L47" s="213">
        <v>0</v>
      </c>
      <c r="M47" s="216">
        <v>40</v>
      </c>
      <c r="N47" s="213">
        <v>0</v>
      </c>
      <c r="O47" s="213" t="s">
        <v>514</v>
      </c>
      <c r="P47" s="213">
        <v>156916523</v>
      </c>
      <c r="Q47" s="213" t="s">
        <v>515</v>
      </c>
      <c r="R47" s="213" t="s">
        <v>516</v>
      </c>
    </row>
    <row r="48" spans="1:18" ht="24" x14ac:dyDescent="0.25">
      <c r="A48" s="212" t="s">
        <v>510</v>
      </c>
      <c r="B48" s="213">
        <v>47</v>
      </c>
      <c r="C48" s="214" t="s">
        <v>571</v>
      </c>
      <c r="D48" s="215">
        <v>469830008017</v>
      </c>
      <c r="E48" s="216">
        <v>2806.14</v>
      </c>
      <c r="F48" s="216">
        <v>1893.17</v>
      </c>
      <c r="G48" s="216">
        <v>5</v>
      </c>
      <c r="H48" s="216" t="s">
        <v>523</v>
      </c>
      <c r="I48" s="216" t="s">
        <v>524</v>
      </c>
      <c r="J48" s="216">
        <v>1983</v>
      </c>
      <c r="K48" s="216">
        <v>42</v>
      </c>
      <c r="L48" s="213">
        <v>3</v>
      </c>
      <c r="M48" s="216">
        <v>40</v>
      </c>
      <c r="N48" s="213">
        <v>4</v>
      </c>
      <c r="O48" s="213" t="s">
        <v>514</v>
      </c>
      <c r="P48" s="213">
        <v>156916523</v>
      </c>
      <c r="Q48" s="213" t="s">
        <v>515</v>
      </c>
      <c r="R48" s="213" t="s">
        <v>516</v>
      </c>
    </row>
    <row r="49" spans="1:18" ht="24" x14ac:dyDescent="0.25">
      <c r="A49" s="212" t="s">
        <v>510</v>
      </c>
      <c r="B49" s="213">
        <v>48</v>
      </c>
      <c r="C49" s="214" t="s">
        <v>572</v>
      </c>
      <c r="D49" s="215">
        <v>469850003018</v>
      </c>
      <c r="E49" s="216">
        <v>2921.84</v>
      </c>
      <c r="F49" s="216">
        <v>2337.8200000000002</v>
      </c>
      <c r="G49" s="216">
        <v>5</v>
      </c>
      <c r="H49" s="216" t="s">
        <v>518</v>
      </c>
      <c r="I49" s="216" t="s">
        <v>513</v>
      </c>
      <c r="J49" s="216">
        <v>1985</v>
      </c>
      <c r="K49" s="216">
        <v>45</v>
      </c>
      <c r="L49" s="213">
        <v>0</v>
      </c>
      <c r="M49" s="216">
        <v>44</v>
      </c>
      <c r="N49" s="213">
        <v>1</v>
      </c>
      <c r="O49" s="213" t="s">
        <v>514</v>
      </c>
      <c r="P49" s="213">
        <v>156916523</v>
      </c>
      <c r="Q49" s="213" t="s">
        <v>515</v>
      </c>
      <c r="R49" s="213" t="s">
        <v>516</v>
      </c>
    </row>
    <row r="50" spans="1:18" ht="24" x14ac:dyDescent="0.25">
      <c r="A50" s="212" t="s">
        <v>510</v>
      </c>
      <c r="B50" s="213">
        <v>49</v>
      </c>
      <c r="C50" s="214" t="s">
        <v>573</v>
      </c>
      <c r="D50" s="215">
        <v>469850004015</v>
      </c>
      <c r="E50" s="216">
        <v>3438.55</v>
      </c>
      <c r="F50" s="216">
        <v>2994.4</v>
      </c>
      <c r="G50" s="216">
        <v>9</v>
      </c>
      <c r="H50" s="216" t="s">
        <v>518</v>
      </c>
      <c r="I50" s="216" t="s">
        <v>513</v>
      </c>
      <c r="J50" s="216">
        <v>1985</v>
      </c>
      <c r="K50" s="216">
        <v>54</v>
      </c>
      <c r="L50" s="213">
        <v>0</v>
      </c>
      <c r="M50" s="216">
        <v>54</v>
      </c>
      <c r="N50" s="213">
        <v>0</v>
      </c>
      <c r="O50" s="213" t="s">
        <v>514</v>
      </c>
      <c r="P50" s="213">
        <v>156916523</v>
      </c>
      <c r="Q50" s="213" t="s">
        <v>515</v>
      </c>
      <c r="R50" s="213" t="s">
        <v>516</v>
      </c>
    </row>
    <row r="51" spans="1:18" ht="24" x14ac:dyDescent="0.25">
      <c r="A51" s="212" t="s">
        <v>510</v>
      </c>
      <c r="B51" s="213">
        <v>50</v>
      </c>
      <c r="C51" s="214" t="s">
        <v>574</v>
      </c>
      <c r="D51" s="215">
        <v>469860007011</v>
      </c>
      <c r="E51" s="216">
        <v>2819.24</v>
      </c>
      <c r="F51" s="216">
        <v>2339.35</v>
      </c>
      <c r="G51" s="216">
        <v>5</v>
      </c>
      <c r="H51" s="216" t="s">
        <v>518</v>
      </c>
      <c r="I51" s="216" t="s">
        <v>542</v>
      </c>
      <c r="J51" s="216">
        <v>1986</v>
      </c>
      <c r="K51" s="216">
        <v>0</v>
      </c>
      <c r="L51" s="213">
        <v>0</v>
      </c>
      <c r="M51" s="216">
        <v>45</v>
      </c>
      <c r="N51" s="213">
        <v>0</v>
      </c>
      <c r="O51" s="213" t="s">
        <v>514</v>
      </c>
      <c r="P51" s="213">
        <v>156916523</v>
      </c>
      <c r="Q51" s="213" t="s">
        <v>515</v>
      </c>
      <c r="R51" s="213" t="s">
        <v>516</v>
      </c>
    </row>
    <row r="52" spans="1:18" ht="24" x14ac:dyDescent="0.25">
      <c r="A52" s="212" t="s">
        <v>510</v>
      </c>
      <c r="B52" s="213">
        <v>51</v>
      </c>
      <c r="C52" s="214" t="s">
        <v>575</v>
      </c>
      <c r="D52" s="215">
        <v>469850005012</v>
      </c>
      <c r="E52" s="216">
        <v>2820.62</v>
      </c>
      <c r="F52" s="216">
        <v>2330.19</v>
      </c>
      <c r="G52" s="216">
        <v>5</v>
      </c>
      <c r="H52" s="216" t="s">
        <v>518</v>
      </c>
      <c r="I52" s="216" t="s">
        <v>513</v>
      </c>
      <c r="J52" s="216">
        <v>1985</v>
      </c>
      <c r="K52" s="216">
        <v>45</v>
      </c>
      <c r="L52" s="213">
        <v>0</v>
      </c>
      <c r="M52" s="216">
        <v>45</v>
      </c>
      <c r="N52" s="213">
        <v>0</v>
      </c>
      <c r="O52" s="213" t="s">
        <v>514</v>
      </c>
      <c r="P52" s="213">
        <v>156916523</v>
      </c>
      <c r="Q52" s="213" t="s">
        <v>515</v>
      </c>
      <c r="R52" s="213" t="s">
        <v>516</v>
      </c>
    </row>
    <row r="53" spans="1:18" ht="24" x14ac:dyDescent="0.25">
      <c r="A53" s="212" t="s">
        <v>510</v>
      </c>
      <c r="B53" s="213">
        <v>52</v>
      </c>
      <c r="C53" s="214" t="s">
        <v>576</v>
      </c>
      <c r="D53" s="215">
        <v>469850006016</v>
      </c>
      <c r="E53" s="216">
        <v>1813.9</v>
      </c>
      <c r="F53" s="216">
        <v>1509.91</v>
      </c>
      <c r="G53" s="216">
        <v>5</v>
      </c>
      <c r="H53" s="216" t="s">
        <v>512</v>
      </c>
      <c r="I53" s="216" t="s">
        <v>513</v>
      </c>
      <c r="J53" s="216">
        <v>1985</v>
      </c>
      <c r="K53" s="216">
        <v>30</v>
      </c>
      <c r="L53" s="213">
        <v>0</v>
      </c>
      <c r="M53" s="216">
        <v>30</v>
      </c>
      <c r="N53" s="213">
        <v>0</v>
      </c>
      <c r="O53" s="213" t="s">
        <v>514</v>
      </c>
      <c r="P53" s="213">
        <v>156916523</v>
      </c>
      <c r="Q53" s="213" t="s">
        <v>515</v>
      </c>
      <c r="R53" s="213" t="s">
        <v>516</v>
      </c>
    </row>
    <row r="54" spans="1:18" ht="24" x14ac:dyDescent="0.25">
      <c r="A54" s="212" t="s">
        <v>510</v>
      </c>
      <c r="B54" s="213">
        <v>53</v>
      </c>
      <c r="C54" s="214" t="s">
        <v>577</v>
      </c>
      <c r="D54" s="215">
        <v>469850007018</v>
      </c>
      <c r="E54" s="216">
        <v>3441.29</v>
      </c>
      <c r="F54" s="216">
        <v>3003.56</v>
      </c>
      <c r="G54" s="216">
        <v>9</v>
      </c>
      <c r="H54" s="216" t="s">
        <v>518</v>
      </c>
      <c r="I54" s="216" t="s">
        <v>513</v>
      </c>
      <c r="J54" s="216">
        <v>1985</v>
      </c>
      <c r="K54" s="216">
        <v>54</v>
      </c>
      <c r="L54" s="213">
        <v>0</v>
      </c>
      <c r="M54" s="216">
        <v>54</v>
      </c>
      <c r="N54" s="213">
        <v>0</v>
      </c>
      <c r="O54" s="213" t="s">
        <v>514</v>
      </c>
      <c r="P54" s="213">
        <v>156916523</v>
      </c>
      <c r="Q54" s="213" t="s">
        <v>515</v>
      </c>
      <c r="R54" s="213" t="s">
        <v>516</v>
      </c>
    </row>
    <row r="55" spans="1:18" ht="24" x14ac:dyDescent="0.25">
      <c r="A55" s="212" t="s">
        <v>510</v>
      </c>
      <c r="B55" s="213">
        <v>54</v>
      </c>
      <c r="C55" s="214" t="s">
        <v>578</v>
      </c>
      <c r="D55" s="215">
        <v>469870003016</v>
      </c>
      <c r="E55" s="216">
        <v>3444.55</v>
      </c>
      <c r="F55" s="216">
        <v>2998.26</v>
      </c>
      <c r="G55" s="216">
        <v>9</v>
      </c>
      <c r="H55" s="216" t="s">
        <v>512</v>
      </c>
      <c r="I55" s="216" t="s">
        <v>513</v>
      </c>
      <c r="J55" s="216">
        <v>1987</v>
      </c>
      <c r="K55" s="216">
        <v>54</v>
      </c>
      <c r="L55" s="216">
        <v>0</v>
      </c>
      <c r="M55" s="216">
        <v>54</v>
      </c>
      <c r="N55" s="216">
        <v>0</v>
      </c>
      <c r="O55" s="213" t="s">
        <v>514</v>
      </c>
      <c r="P55" s="213">
        <v>156916523</v>
      </c>
      <c r="Q55" s="213" t="s">
        <v>515</v>
      </c>
      <c r="R55" s="213" t="s">
        <v>516</v>
      </c>
    </row>
    <row r="56" spans="1:18" ht="24" x14ac:dyDescent="0.25">
      <c r="A56" s="212" t="s">
        <v>510</v>
      </c>
      <c r="B56" s="213">
        <v>55</v>
      </c>
      <c r="C56" s="214" t="s">
        <v>579</v>
      </c>
      <c r="D56" s="215">
        <v>469850008015</v>
      </c>
      <c r="E56" s="216">
        <v>1797.99</v>
      </c>
      <c r="F56" s="216">
        <v>1495.9</v>
      </c>
      <c r="G56" s="216">
        <v>5</v>
      </c>
      <c r="H56" s="216" t="s">
        <v>518</v>
      </c>
      <c r="I56" s="216" t="s">
        <v>513</v>
      </c>
      <c r="J56" s="216">
        <v>1985</v>
      </c>
      <c r="K56" s="216">
        <v>30</v>
      </c>
      <c r="L56" s="213">
        <v>0</v>
      </c>
      <c r="M56" s="216">
        <v>30</v>
      </c>
      <c r="N56" s="213">
        <v>0</v>
      </c>
      <c r="O56" s="213" t="s">
        <v>514</v>
      </c>
      <c r="P56" s="213">
        <v>156916523</v>
      </c>
      <c r="Q56" s="213" t="s">
        <v>515</v>
      </c>
      <c r="R56" s="213" t="s">
        <v>516</v>
      </c>
    </row>
    <row r="57" spans="1:18" ht="24" x14ac:dyDescent="0.25">
      <c r="A57" s="212" t="s">
        <v>510</v>
      </c>
      <c r="B57" s="213">
        <v>56</v>
      </c>
      <c r="C57" s="214" t="s">
        <v>580</v>
      </c>
      <c r="D57" s="215">
        <v>469860008012</v>
      </c>
      <c r="E57" s="216">
        <v>1830.51</v>
      </c>
      <c r="F57" s="216">
        <v>1511.7</v>
      </c>
      <c r="G57" s="216">
        <v>5</v>
      </c>
      <c r="H57" s="216" t="s">
        <v>518</v>
      </c>
      <c r="I57" s="216" t="s">
        <v>513</v>
      </c>
      <c r="J57" s="216">
        <v>1986</v>
      </c>
      <c r="K57" s="216">
        <v>30</v>
      </c>
      <c r="L57" s="213">
        <v>0</v>
      </c>
      <c r="M57" s="216">
        <v>30</v>
      </c>
      <c r="N57" s="213">
        <v>0</v>
      </c>
      <c r="O57" s="213" t="s">
        <v>514</v>
      </c>
      <c r="P57" s="213">
        <v>156916523</v>
      </c>
      <c r="Q57" s="213" t="s">
        <v>515</v>
      </c>
      <c r="R57" s="213" t="s">
        <v>516</v>
      </c>
    </row>
    <row r="58" spans="1:18" ht="24" x14ac:dyDescent="0.25">
      <c r="A58" s="212" t="s">
        <v>510</v>
      </c>
      <c r="B58" s="213">
        <v>57</v>
      </c>
      <c r="C58" s="214" t="s">
        <v>581</v>
      </c>
      <c r="D58" s="215">
        <v>469860009017</v>
      </c>
      <c r="E58" s="216">
        <v>2802.1</v>
      </c>
      <c r="F58" s="216">
        <v>2330.09</v>
      </c>
      <c r="G58" s="216">
        <v>5</v>
      </c>
      <c r="H58" s="216" t="s">
        <v>523</v>
      </c>
      <c r="I58" s="216" t="s">
        <v>513</v>
      </c>
      <c r="J58" s="216">
        <v>1986</v>
      </c>
      <c r="K58" s="216">
        <v>45</v>
      </c>
      <c r="L58" s="213">
        <v>0</v>
      </c>
      <c r="M58" s="216">
        <v>45</v>
      </c>
      <c r="N58" s="213">
        <v>0</v>
      </c>
      <c r="O58" s="213" t="s">
        <v>514</v>
      </c>
      <c r="P58" s="213">
        <v>156916523</v>
      </c>
      <c r="Q58" s="213" t="s">
        <v>515</v>
      </c>
      <c r="R58" s="213" t="s">
        <v>516</v>
      </c>
    </row>
    <row r="59" spans="1:18" ht="24" x14ac:dyDescent="0.25">
      <c r="A59" s="212" t="s">
        <v>510</v>
      </c>
      <c r="B59" s="213">
        <v>58</v>
      </c>
      <c r="C59" s="214" t="s">
        <v>582</v>
      </c>
      <c r="D59" s="215">
        <v>469860010016</v>
      </c>
      <c r="E59" s="216">
        <v>2190.4899999999998</v>
      </c>
      <c r="F59" s="216">
        <v>1657.66</v>
      </c>
      <c r="G59" s="216">
        <v>5</v>
      </c>
      <c r="H59" s="216" t="s">
        <v>518</v>
      </c>
      <c r="I59" s="216" t="s">
        <v>513</v>
      </c>
      <c r="J59" s="216">
        <v>1986</v>
      </c>
      <c r="K59" s="216">
        <v>40</v>
      </c>
      <c r="L59" s="213">
        <v>0</v>
      </c>
      <c r="M59" s="216">
        <v>40</v>
      </c>
      <c r="N59" s="213">
        <v>0</v>
      </c>
      <c r="O59" s="213" t="s">
        <v>514</v>
      </c>
      <c r="P59" s="213">
        <v>156916523</v>
      </c>
      <c r="Q59" s="213" t="s">
        <v>515</v>
      </c>
      <c r="R59" s="213" t="s">
        <v>516</v>
      </c>
    </row>
    <row r="60" spans="1:18" ht="24" x14ac:dyDescent="0.25">
      <c r="A60" s="212" t="s">
        <v>510</v>
      </c>
      <c r="B60" s="213">
        <v>59</v>
      </c>
      <c r="C60" s="214" t="s">
        <v>583</v>
      </c>
      <c r="D60" s="215">
        <v>469880007014</v>
      </c>
      <c r="E60" s="216">
        <v>3674.6</v>
      </c>
      <c r="F60" s="216">
        <v>2750.84</v>
      </c>
      <c r="G60" s="216">
        <v>9</v>
      </c>
      <c r="H60" s="216" t="s">
        <v>527</v>
      </c>
      <c r="I60" s="216" t="s">
        <v>524</v>
      </c>
      <c r="J60" s="216">
        <v>1988</v>
      </c>
      <c r="K60" s="216">
        <v>71</v>
      </c>
      <c r="L60" s="213">
        <v>1</v>
      </c>
      <c r="M60" s="216">
        <v>70</v>
      </c>
      <c r="N60" s="213">
        <v>2</v>
      </c>
      <c r="O60" s="213" t="s">
        <v>514</v>
      </c>
      <c r="P60" s="213">
        <v>156916523</v>
      </c>
      <c r="Q60" s="213" t="s">
        <v>515</v>
      </c>
      <c r="R60" s="213" t="s">
        <v>516</v>
      </c>
    </row>
    <row r="61" spans="1:18" ht="24" x14ac:dyDescent="0.25">
      <c r="A61" s="212" t="s">
        <v>510</v>
      </c>
      <c r="B61" s="213">
        <v>60</v>
      </c>
      <c r="C61" s="214" t="s">
        <v>584</v>
      </c>
      <c r="D61" s="215">
        <v>469850009012</v>
      </c>
      <c r="E61" s="216">
        <v>2093.9699999999998</v>
      </c>
      <c r="F61" s="216">
        <v>1744.82</v>
      </c>
      <c r="G61" s="216">
        <v>5</v>
      </c>
      <c r="H61" s="216" t="s">
        <v>512</v>
      </c>
      <c r="I61" s="216" t="s">
        <v>513</v>
      </c>
      <c r="J61" s="216">
        <v>1985</v>
      </c>
      <c r="K61" s="216">
        <v>40</v>
      </c>
      <c r="L61" s="213">
        <v>0</v>
      </c>
      <c r="M61" s="216">
        <v>40</v>
      </c>
      <c r="N61" s="213">
        <v>0</v>
      </c>
      <c r="O61" s="213" t="s">
        <v>514</v>
      </c>
      <c r="P61" s="213">
        <v>156916523</v>
      </c>
      <c r="Q61" s="213" t="s">
        <v>515</v>
      </c>
      <c r="R61" s="213" t="s">
        <v>516</v>
      </c>
    </row>
    <row r="62" spans="1:18" ht="24" x14ac:dyDescent="0.25">
      <c r="A62" s="212" t="s">
        <v>510</v>
      </c>
      <c r="B62" s="213">
        <v>61</v>
      </c>
      <c r="C62" s="214" t="s">
        <v>585</v>
      </c>
      <c r="D62" s="215">
        <v>469850010011</v>
      </c>
      <c r="E62" s="216">
        <v>2100.79</v>
      </c>
      <c r="F62" s="216">
        <v>1638.65</v>
      </c>
      <c r="G62" s="216">
        <v>5</v>
      </c>
      <c r="H62" s="216" t="s">
        <v>512</v>
      </c>
      <c r="I62" s="216" t="s">
        <v>513</v>
      </c>
      <c r="J62" s="216">
        <v>1985</v>
      </c>
      <c r="K62" s="216">
        <v>40</v>
      </c>
      <c r="L62" s="216">
        <v>0</v>
      </c>
      <c r="M62" s="216">
        <v>40</v>
      </c>
      <c r="N62" s="216">
        <v>0</v>
      </c>
      <c r="O62" s="213" t="s">
        <v>514</v>
      </c>
      <c r="P62" s="213">
        <v>156916523</v>
      </c>
      <c r="Q62" s="213" t="s">
        <v>515</v>
      </c>
      <c r="R62" s="213" t="s">
        <v>516</v>
      </c>
    </row>
    <row r="63" spans="1:18" ht="24" x14ac:dyDescent="0.25">
      <c r="A63" s="212" t="s">
        <v>510</v>
      </c>
      <c r="B63" s="213">
        <v>62</v>
      </c>
      <c r="C63" s="214" t="s">
        <v>586</v>
      </c>
      <c r="D63" s="215">
        <v>469840007013</v>
      </c>
      <c r="E63" s="216">
        <v>2853.2</v>
      </c>
      <c r="F63" s="216">
        <v>2330.0500000000002</v>
      </c>
      <c r="G63" s="216">
        <v>5</v>
      </c>
      <c r="H63" s="216" t="s">
        <v>512</v>
      </c>
      <c r="I63" s="216" t="s">
        <v>513</v>
      </c>
      <c r="J63" s="216">
        <v>1984</v>
      </c>
      <c r="K63" s="216">
        <v>65</v>
      </c>
      <c r="L63" s="213">
        <v>0</v>
      </c>
      <c r="M63" s="216">
        <v>65</v>
      </c>
      <c r="N63" s="213">
        <v>0</v>
      </c>
      <c r="O63" s="213" t="s">
        <v>514</v>
      </c>
      <c r="P63" s="213">
        <v>156916523</v>
      </c>
      <c r="Q63" s="213" t="s">
        <v>515</v>
      </c>
      <c r="R63" s="213" t="s">
        <v>516</v>
      </c>
    </row>
    <row r="64" spans="1:18" ht="24" x14ac:dyDescent="0.25">
      <c r="A64" s="212" t="s">
        <v>510</v>
      </c>
      <c r="B64" s="213">
        <v>63</v>
      </c>
      <c r="C64" s="214" t="s">
        <v>587</v>
      </c>
      <c r="D64" s="215">
        <v>469870004013</v>
      </c>
      <c r="E64" s="216">
        <v>2118.1</v>
      </c>
      <c r="F64" s="216">
        <v>1656.65</v>
      </c>
      <c r="G64" s="216">
        <v>5</v>
      </c>
      <c r="H64" s="216" t="s">
        <v>512</v>
      </c>
      <c r="I64" s="216" t="s">
        <v>513</v>
      </c>
      <c r="J64" s="216">
        <v>1987</v>
      </c>
      <c r="K64" s="216">
        <v>40</v>
      </c>
      <c r="L64" s="213">
        <v>0</v>
      </c>
      <c r="M64" s="216">
        <v>40</v>
      </c>
      <c r="N64" s="213">
        <v>0</v>
      </c>
      <c r="O64" s="213" t="s">
        <v>514</v>
      </c>
      <c r="P64" s="213">
        <v>156916523</v>
      </c>
      <c r="Q64" s="213" t="s">
        <v>515</v>
      </c>
      <c r="R64" s="213" t="s">
        <v>516</v>
      </c>
    </row>
    <row r="65" spans="1:18" ht="24" x14ac:dyDescent="0.25">
      <c r="A65" s="212" t="s">
        <v>510</v>
      </c>
      <c r="B65" s="213">
        <v>64</v>
      </c>
      <c r="C65" s="214" t="s">
        <v>588</v>
      </c>
      <c r="D65" s="215">
        <v>469880008018</v>
      </c>
      <c r="E65" s="216">
        <v>3339.39</v>
      </c>
      <c r="F65" s="216">
        <v>2993.3</v>
      </c>
      <c r="G65" s="216">
        <v>9</v>
      </c>
      <c r="H65" s="216" t="s">
        <v>512</v>
      </c>
      <c r="I65" s="216" t="s">
        <v>513</v>
      </c>
      <c r="J65" s="216">
        <v>1988</v>
      </c>
      <c r="K65" s="216">
        <v>54</v>
      </c>
      <c r="L65" s="213">
        <v>0</v>
      </c>
      <c r="M65" s="216">
        <v>54</v>
      </c>
      <c r="N65" s="213">
        <v>0</v>
      </c>
      <c r="O65" s="213" t="s">
        <v>514</v>
      </c>
      <c r="P65" s="213">
        <v>156916523</v>
      </c>
      <c r="Q65" s="213" t="s">
        <v>515</v>
      </c>
      <c r="R65" s="213" t="s">
        <v>516</v>
      </c>
    </row>
    <row r="66" spans="1:18" ht="24" x14ac:dyDescent="0.25">
      <c r="A66" s="212" t="s">
        <v>510</v>
      </c>
      <c r="B66" s="213">
        <v>65</v>
      </c>
      <c r="C66" s="214" t="s">
        <v>589</v>
      </c>
      <c r="D66" s="215">
        <v>469890008011</v>
      </c>
      <c r="E66" s="216">
        <v>3360.24</v>
      </c>
      <c r="F66" s="216">
        <v>3010.51</v>
      </c>
      <c r="G66" s="216">
        <v>9</v>
      </c>
      <c r="H66" s="216" t="s">
        <v>512</v>
      </c>
      <c r="I66" s="216" t="s">
        <v>513</v>
      </c>
      <c r="J66" s="216">
        <v>1989</v>
      </c>
      <c r="K66" s="216">
        <v>54</v>
      </c>
      <c r="L66" s="213">
        <v>0</v>
      </c>
      <c r="M66" s="216">
        <v>54</v>
      </c>
      <c r="N66" s="213">
        <v>0</v>
      </c>
      <c r="O66" s="213" t="s">
        <v>514</v>
      </c>
      <c r="P66" s="213">
        <v>156916523</v>
      </c>
      <c r="Q66" s="213" t="s">
        <v>515</v>
      </c>
      <c r="R66" s="213" t="s">
        <v>516</v>
      </c>
    </row>
    <row r="67" spans="1:18" ht="24" x14ac:dyDescent="0.25">
      <c r="A67" s="212" t="s">
        <v>510</v>
      </c>
      <c r="B67" s="213">
        <v>66</v>
      </c>
      <c r="C67" s="214" t="s">
        <v>590</v>
      </c>
      <c r="D67" s="215">
        <v>469840008010</v>
      </c>
      <c r="E67" s="216">
        <v>3435.34</v>
      </c>
      <c r="F67" s="216">
        <v>2995.2</v>
      </c>
      <c r="G67" s="216">
        <v>9</v>
      </c>
      <c r="H67" s="216" t="s">
        <v>512</v>
      </c>
      <c r="I67" s="216" t="s">
        <v>513</v>
      </c>
      <c r="J67" s="216">
        <v>1984</v>
      </c>
      <c r="K67" s="216">
        <v>54</v>
      </c>
      <c r="L67" s="216">
        <v>0</v>
      </c>
      <c r="M67" s="216">
        <v>54</v>
      </c>
      <c r="N67" s="216">
        <v>0</v>
      </c>
      <c r="O67" s="213" t="s">
        <v>514</v>
      </c>
      <c r="P67" s="213">
        <v>156916523</v>
      </c>
      <c r="Q67" s="213" t="s">
        <v>515</v>
      </c>
      <c r="R67" s="213" t="s">
        <v>516</v>
      </c>
    </row>
    <row r="68" spans="1:18" ht="24" x14ac:dyDescent="0.25">
      <c r="A68" s="212" t="s">
        <v>510</v>
      </c>
      <c r="B68" s="213">
        <v>67</v>
      </c>
      <c r="C68" s="214" t="s">
        <v>591</v>
      </c>
      <c r="D68" s="215">
        <v>469840009019</v>
      </c>
      <c r="E68" s="216">
        <v>2814.95</v>
      </c>
      <c r="F68" s="216">
        <v>2348.46</v>
      </c>
      <c r="G68" s="216">
        <v>5</v>
      </c>
      <c r="H68" s="216" t="s">
        <v>512</v>
      </c>
      <c r="I68" s="216" t="s">
        <v>513</v>
      </c>
      <c r="J68" s="216">
        <v>1984</v>
      </c>
      <c r="K68" s="216">
        <v>45</v>
      </c>
      <c r="L68" s="213">
        <v>0</v>
      </c>
      <c r="M68" s="216">
        <v>45</v>
      </c>
      <c r="N68" s="213">
        <v>0</v>
      </c>
      <c r="O68" s="213" t="s">
        <v>514</v>
      </c>
      <c r="P68" s="213">
        <v>156916523</v>
      </c>
      <c r="Q68" s="213" t="s">
        <v>515</v>
      </c>
      <c r="R68" s="213" t="s">
        <v>516</v>
      </c>
    </row>
    <row r="69" spans="1:18" ht="24" x14ac:dyDescent="0.25">
      <c r="A69" s="212" t="s">
        <v>510</v>
      </c>
      <c r="B69" s="213">
        <v>68</v>
      </c>
      <c r="C69" s="214" t="s">
        <v>592</v>
      </c>
      <c r="D69" s="215">
        <v>469840010018</v>
      </c>
      <c r="E69" s="216">
        <v>2797.38</v>
      </c>
      <c r="F69" s="216">
        <v>2331.85</v>
      </c>
      <c r="G69" s="216">
        <v>5</v>
      </c>
      <c r="H69" s="216" t="s">
        <v>518</v>
      </c>
      <c r="I69" s="216" t="s">
        <v>513</v>
      </c>
      <c r="J69" s="216">
        <v>1984</v>
      </c>
      <c r="K69" s="216">
        <v>45</v>
      </c>
      <c r="L69" s="213">
        <v>0</v>
      </c>
      <c r="M69" s="216">
        <v>45</v>
      </c>
      <c r="N69" s="213">
        <v>0</v>
      </c>
      <c r="O69" s="213" t="s">
        <v>514</v>
      </c>
      <c r="P69" s="213">
        <v>156916523</v>
      </c>
      <c r="Q69" s="213" t="s">
        <v>515</v>
      </c>
      <c r="R69" s="213" t="s">
        <v>516</v>
      </c>
    </row>
    <row r="70" spans="1:18" ht="24" x14ac:dyDescent="0.25">
      <c r="A70" s="212" t="s">
        <v>510</v>
      </c>
      <c r="B70" s="213">
        <v>69</v>
      </c>
      <c r="C70" s="214" t="s">
        <v>593</v>
      </c>
      <c r="D70" s="215">
        <v>469870001010</v>
      </c>
      <c r="E70" s="216">
        <v>3172.42</v>
      </c>
      <c r="F70" s="216">
        <v>2382.56</v>
      </c>
      <c r="G70" s="216">
        <v>4</v>
      </c>
      <c r="H70" s="216" t="s">
        <v>527</v>
      </c>
      <c r="I70" s="216" t="s">
        <v>519</v>
      </c>
      <c r="J70" s="216">
        <v>1987</v>
      </c>
      <c r="K70" s="216">
        <v>44</v>
      </c>
      <c r="L70" s="213">
        <v>4</v>
      </c>
      <c r="M70" s="216">
        <v>44</v>
      </c>
      <c r="N70" s="213">
        <v>4</v>
      </c>
      <c r="O70" s="213" t="s">
        <v>514</v>
      </c>
      <c r="P70" s="213">
        <v>156916523</v>
      </c>
      <c r="Q70" s="213" t="s">
        <v>515</v>
      </c>
      <c r="R70" s="213" t="s">
        <v>516</v>
      </c>
    </row>
    <row r="71" spans="1:18" ht="24" x14ac:dyDescent="0.25">
      <c r="A71" s="212" t="s">
        <v>510</v>
      </c>
      <c r="B71" s="213">
        <v>70</v>
      </c>
      <c r="C71" s="214" t="s">
        <v>594</v>
      </c>
      <c r="D71" s="215">
        <v>469840011015</v>
      </c>
      <c r="E71" s="216">
        <v>1696.56</v>
      </c>
      <c r="F71" s="216">
        <v>1477.31</v>
      </c>
      <c r="G71" s="216">
        <v>5</v>
      </c>
      <c r="H71" s="216" t="s">
        <v>518</v>
      </c>
      <c r="I71" s="216" t="s">
        <v>513</v>
      </c>
      <c r="J71" s="216">
        <v>1984</v>
      </c>
      <c r="K71" s="216">
        <v>30</v>
      </c>
      <c r="L71" s="213">
        <v>0</v>
      </c>
      <c r="M71" s="216">
        <v>30</v>
      </c>
      <c r="N71" s="213">
        <v>0</v>
      </c>
      <c r="O71" s="213" t="s">
        <v>514</v>
      </c>
      <c r="P71" s="213">
        <v>156916523</v>
      </c>
      <c r="Q71" s="213" t="s">
        <v>515</v>
      </c>
      <c r="R71" s="213" t="s">
        <v>516</v>
      </c>
    </row>
    <row r="72" spans="1:18" ht="24" x14ac:dyDescent="0.25">
      <c r="A72" s="212" t="s">
        <v>510</v>
      </c>
      <c r="B72" s="213">
        <v>71</v>
      </c>
      <c r="C72" s="214" t="s">
        <v>595</v>
      </c>
      <c r="D72" s="215">
        <v>469840012012</v>
      </c>
      <c r="E72" s="216">
        <v>4831.21</v>
      </c>
      <c r="F72" s="216">
        <v>4024.25</v>
      </c>
      <c r="G72" s="216">
        <v>5</v>
      </c>
      <c r="H72" s="216" t="s">
        <v>512</v>
      </c>
      <c r="I72" s="216" t="s">
        <v>513</v>
      </c>
      <c r="J72" s="216">
        <v>1984</v>
      </c>
      <c r="K72" s="216">
        <v>75</v>
      </c>
      <c r="L72" s="213">
        <v>0</v>
      </c>
      <c r="M72" s="216">
        <v>75</v>
      </c>
      <c r="N72" s="213">
        <v>0</v>
      </c>
      <c r="O72" s="213" t="s">
        <v>514</v>
      </c>
      <c r="P72" s="213">
        <v>156916523</v>
      </c>
      <c r="Q72" s="213" t="s">
        <v>515</v>
      </c>
      <c r="R72" s="213" t="s">
        <v>516</v>
      </c>
    </row>
    <row r="73" spans="1:18" ht="24" x14ac:dyDescent="0.25">
      <c r="A73" s="212" t="s">
        <v>510</v>
      </c>
      <c r="B73" s="213">
        <v>72</v>
      </c>
      <c r="C73" s="214" t="s">
        <v>596</v>
      </c>
      <c r="D73" s="215">
        <v>469860011013</v>
      </c>
      <c r="E73" s="216">
        <v>2415.48</v>
      </c>
      <c r="F73" s="216">
        <v>2058.4</v>
      </c>
      <c r="G73" s="216">
        <v>10</v>
      </c>
      <c r="H73" s="216" t="s">
        <v>550</v>
      </c>
      <c r="I73" s="216" t="s">
        <v>513</v>
      </c>
      <c r="J73" s="216">
        <v>1986</v>
      </c>
      <c r="K73" s="216">
        <v>38</v>
      </c>
      <c r="L73" s="213">
        <v>0</v>
      </c>
      <c r="M73" s="216">
        <v>38</v>
      </c>
      <c r="N73" s="213">
        <v>0</v>
      </c>
      <c r="O73" s="213" t="s">
        <v>514</v>
      </c>
      <c r="P73" s="213">
        <v>156916523</v>
      </c>
      <c r="Q73" s="213" t="s">
        <v>515</v>
      </c>
      <c r="R73" s="213" t="s">
        <v>516</v>
      </c>
    </row>
    <row r="74" spans="1:18" ht="24" x14ac:dyDescent="0.25">
      <c r="A74" s="212" t="s">
        <v>510</v>
      </c>
      <c r="B74" s="213">
        <v>73</v>
      </c>
      <c r="C74" s="228" t="s">
        <v>597</v>
      </c>
      <c r="D74" s="215">
        <v>469870005010</v>
      </c>
      <c r="E74" s="216">
        <v>3714.62</v>
      </c>
      <c r="F74" s="216">
        <v>2948.13</v>
      </c>
      <c r="G74" s="216">
        <v>5</v>
      </c>
      <c r="H74" s="216" t="s">
        <v>527</v>
      </c>
      <c r="I74" s="216" t="s">
        <v>519</v>
      </c>
      <c r="J74" s="216">
        <v>1987</v>
      </c>
      <c r="K74" s="216">
        <v>54</v>
      </c>
      <c r="L74" s="213">
        <v>0</v>
      </c>
      <c r="M74" s="216">
        <v>54</v>
      </c>
      <c r="N74" s="213">
        <v>0</v>
      </c>
      <c r="O74" s="213"/>
      <c r="P74" s="213">
        <v>156916524</v>
      </c>
      <c r="Q74" s="213" t="s">
        <v>515</v>
      </c>
      <c r="R74" s="213" t="s">
        <v>516</v>
      </c>
    </row>
    <row r="75" spans="1:18" ht="24" x14ac:dyDescent="0.25">
      <c r="A75" s="212" t="s">
        <v>510</v>
      </c>
      <c r="B75" s="213">
        <v>74</v>
      </c>
      <c r="C75" s="214" t="s">
        <v>598</v>
      </c>
      <c r="D75" s="215">
        <v>469830010013</v>
      </c>
      <c r="E75" s="216">
        <v>3425.36</v>
      </c>
      <c r="F75" s="216">
        <v>2976.21</v>
      </c>
      <c r="G75" s="216">
        <v>9</v>
      </c>
      <c r="H75" s="216" t="s">
        <v>512</v>
      </c>
      <c r="I75" s="216" t="s">
        <v>513</v>
      </c>
      <c r="J75" s="216">
        <v>1983</v>
      </c>
      <c r="K75" s="216">
        <v>54</v>
      </c>
      <c r="L75" s="213">
        <v>0</v>
      </c>
      <c r="M75" s="216">
        <v>54</v>
      </c>
      <c r="N75" s="213">
        <v>0</v>
      </c>
      <c r="O75" s="213" t="s">
        <v>514</v>
      </c>
      <c r="P75" s="213">
        <v>156916523</v>
      </c>
      <c r="Q75" s="213" t="s">
        <v>515</v>
      </c>
      <c r="R75" s="213" t="s">
        <v>516</v>
      </c>
    </row>
    <row r="76" spans="1:18" ht="24" x14ac:dyDescent="0.25">
      <c r="A76" s="212" t="s">
        <v>510</v>
      </c>
      <c r="B76" s="213">
        <v>75</v>
      </c>
      <c r="C76" s="214" t="s">
        <v>599</v>
      </c>
      <c r="D76" s="215">
        <v>469680003013</v>
      </c>
      <c r="E76" s="216">
        <v>3754.3</v>
      </c>
      <c r="F76" s="216">
        <v>3427.92</v>
      </c>
      <c r="G76" s="216">
        <v>5</v>
      </c>
      <c r="H76" s="216" t="s">
        <v>527</v>
      </c>
      <c r="I76" s="216" t="s">
        <v>519</v>
      </c>
      <c r="J76" s="216">
        <v>1968</v>
      </c>
      <c r="K76" s="216">
        <v>65</v>
      </c>
      <c r="L76" s="213">
        <v>124</v>
      </c>
      <c r="M76" s="216">
        <v>65</v>
      </c>
      <c r="N76" s="213">
        <v>2</v>
      </c>
      <c r="O76" s="213"/>
      <c r="P76" s="213">
        <v>156916522</v>
      </c>
      <c r="Q76" s="213" t="s">
        <v>515</v>
      </c>
      <c r="R76" s="213" t="s">
        <v>516</v>
      </c>
    </row>
    <row r="77" spans="1:18" ht="24" x14ac:dyDescent="0.25">
      <c r="A77" s="212" t="s">
        <v>510</v>
      </c>
      <c r="B77" s="213">
        <v>76</v>
      </c>
      <c r="C77" s="214" t="s">
        <v>600</v>
      </c>
      <c r="D77" s="215">
        <v>469590011016</v>
      </c>
      <c r="E77" s="216">
        <v>1194.2</v>
      </c>
      <c r="F77" s="216">
        <v>762.23</v>
      </c>
      <c r="G77" s="216">
        <v>2</v>
      </c>
      <c r="H77" s="216" t="s">
        <v>527</v>
      </c>
      <c r="I77" s="216" t="s">
        <v>601</v>
      </c>
      <c r="J77" s="216">
        <v>1959</v>
      </c>
      <c r="K77" s="216">
        <v>18</v>
      </c>
      <c r="L77" s="213">
        <v>0</v>
      </c>
      <c r="M77" s="216">
        <v>18</v>
      </c>
      <c r="N77" s="213">
        <v>0</v>
      </c>
      <c r="O77" s="213" t="s">
        <v>514</v>
      </c>
      <c r="P77" s="213">
        <v>156916523</v>
      </c>
      <c r="Q77" s="213" t="s">
        <v>515</v>
      </c>
      <c r="R77" s="213" t="s">
        <v>516</v>
      </c>
    </row>
    <row r="78" spans="1:18" ht="24" x14ac:dyDescent="0.25">
      <c r="A78" s="212" t="s">
        <v>510</v>
      </c>
      <c r="B78" s="213">
        <v>77</v>
      </c>
      <c r="C78" s="214" t="s">
        <v>602</v>
      </c>
      <c r="D78" s="215">
        <v>469820043022</v>
      </c>
      <c r="E78" s="216">
        <v>349.36</v>
      </c>
      <c r="F78" s="216">
        <v>210.74</v>
      </c>
      <c r="G78" s="216">
        <v>2</v>
      </c>
      <c r="H78" s="216" t="s">
        <v>512</v>
      </c>
      <c r="I78" s="216" t="s">
        <v>524</v>
      </c>
      <c r="J78" s="216">
        <v>1982</v>
      </c>
      <c r="K78" s="216">
        <v>4</v>
      </c>
      <c r="L78" s="213">
        <v>0</v>
      </c>
      <c r="M78" s="216">
        <v>4</v>
      </c>
      <c r="N78" s="213">
        <v>0</v>
      </c>
      <c r="O78" s="213" t="s">
        <v>514</v>
      </c>
      <c r="P78" s="213">
        <v>156916523</v>
      </c>
      <c r="Q78" s="213" t="s">
        <v>515</v>
      </c>
      <c r="R78" s="213" t="s">
        <v>516</v>
      </c>
    </row>
    <row r="79" spans="1:18" ht="24" x14ac:dyDescent="0.25">
      <c r="A79" s="212" t="s">
        <v>510</v>
      </c>
      <c r="B79" s="213">
        <v>78</v>
      </c>
      <c r="C79" s="214" t="s">
        <v>603</v>
      </c>
      <c r="D79" s="215">
        <v>469830044013</v>
      </c>
      <c r="E79" s="216">
        <v>974.26</v>
      </c>
      <c r="F79" s="216">
        <v>728.11</v>
      </c>
      <c r="G79" s="216">
        <v>3</v>
      </c>
      <c r="H79" s="216" t="s">
        <v>512</v>
      </c>
      <c r="I79" s="216" t="s">
        <v>513</v>
      </c>
      <c r="J79" s="216">
        <v>1983</v>
      </c>
      <c r="K79" s="216">
        <v>12</v>
      </c>
      <c r="L79" s="213">
        <v>0</v>
      </c>
      <c r="M79" s="216">
        <v>12</v>
      </c>
      <c r="N79" s="213">
        <v>0</v>
      </c>
      <c r="O79" s="213" t="s">
        <v>514</v>
      </c>
      <c r="P79" s="213">
        <v>156916523</v>
      </c>
      <c r="Q79" s="213" t="s">
        <v>515</v>
      </c>
      <c r="R79" s="213" t="s">
        <v>516</v>
      </c>
    </row>
    <row r="80" spans="1:18" ht="24" x14ac:dyDescent="0.25">
      <c r="A80" s="212" t="s">
        <v>510</v>
      </c>
      <c r="B80" s="213">
        <v>79</v>
      </c>
      <c r="C80" s="214" t="s">
        <v>604</v>
      </c>
      <c r="D80" s="215">
        <v>469820043011</v>
      </c>
      <c r="E80" s="216">
        <v>357.2</v>
      </c>
      <c r="F80" s="216">
        <v>216.98</v>
      </c>
      <c r="G80" s="216">
        <v>2</v>
      </c>
      <c r="H80" s="216" t="s">
        <v>512</v>
      </c>
      <c r="I80" s="216" t="s">
        <v>524</v>
      </c>
      <c r="J80" s="216">
        <v>1982</v>
      </c>
      <c r="K80" s="216">
        <v>4</v>
      </c>
      <c r="L80" s="213">
        <v>0</v>
      </c>
      <c r="M80" s="216">
        <v>4</v>
      </c>
      <c r="N80" s="213">
        <v>0</v>
      </c>
      <c r="O80" s="213" t="s">
        <v>514</v>
      </c>
      <c r="P80" s="213">
        <v>156916523</v>
      </c>
      <c r="Q80" s="213" t="s">
        <v>515</v>
      </c>
      <c r="R80" s="213" t="s">
        <v>516</v>
      </c>
    </row>
    <row r="81" spans="1:18" ht="24" x14ac:dyDescent="0.25">
      <c r="A81" s="212" t="s">
        <v>510</v>
      </c>
      <c r="B81" s="213">
        <v>80</v>
      </c>
      <c r="C81" s="214" t="s">
        <v>605</v>
      </c>
      <c r="D81" s="215">
        <v>469760004016</v>
      </c>
      <c r="E81" s="216">
        <v>1067.8900000000001</v>
      </c>
      <c r="F81" s="216">
        <v>792.5</v>
      </c>
      <c r="G81" s="216">
        <v>3</v>
      </c>
      <c r="H81" s="216" t="s">
        <v>527</v>
      </c>
      <c r="I81" s="216" t="s">
        <v>513</v>
      </c>
      <c r="J81" s="216">
        <v>1976</v>
      </c>
      <c r="K81" s="216">
        <v>18</v>
      </c>
      <c r="L81" s="213">
        <v>0</v>
      </c>
      <c r="M81" s="216">
        <v>18</v>
      </c>
      <c r="N81" s="213">
        <v>0</v>
      </c>
      <c r="O81" s="213" t="s">
        <v>514</v>
      </c>
      <c r="P81" s="213">
        <v>156916523</v>
      </c>
      <c r="Q81" s="213" t="s">
        <v>515</v>
      </c>
      <c r="R81" s="213" t="s">
        <v>516</v>
      </c>
    </row>
    <row r="82" spans="1:18" ht="24" x14ac:dyDescent="0.25">
      <c r="A82" s="212" t="s">
        <v>510</v>
      </c>
      <c r="B82" s="213">
        <v>81</v>
      </c>
      <c r="C82" s="214" t="s">
        <v>606</v>
      </c>
      <c r="D82" s="215">
        <v>469740002012</v>
      </c>
      <c r="E82" s="216">
        <v>1070.49</v>
      </c>
      <c r="F82" s="216">
        <v>794.45</v>
      </c>
      <c r="G82" s="216">
        <v>3</v>
      </c>
      <c r="H82" s="216" t="s">
        <v>527</v>
      </c>
      <c r="I82" s="216" t="s">
        <v>513</v>
      </c>
      <c r="J82" s="216">
        <v>1974</v>
      </c>
      <c r="K82" s="216">
        <v>18</v>
      </c>
      <c r="L82" s="213">
        <v>0</v>
      </c>
      <c r="M82" s="216">
        <v>18</v>
      </c>
      <c r="N82" s="213">
        <v>0</v>
      </c>
      <c r="O82" s="213" t="s">
        <v>514</v>
      </c>
      <c r="P82" s="213">
        <v>156916523</v>
      </c>
      <c r="Q82" s="213" t="s">
        <v>515</v>
      </c>
      <c r="R82" s="213" t="s">
        <v>516</v>
      </c>
    </row>
    <row r="83" spans="1:18" ht="24" x14ac:dyDescent="0.25">
      <c r="A83" s="212" t="s">
        <v>510</v>
      </c>
      <c r="B83" s="213">
        <v>82</v>
      </c>
      <c r="C83" s="214" t="s">
        <v>607</v>
      </c>
      <c r="D83" s="215">
        <v>469870011018</v>
      </c>
      <c r="E83" s="216">
        <v>1334.85</v>
      </c>
      <c r="F83" s="216">
        <v>1052.0899999999999</v>
      </c>
      <c r="G83" s="216">
        <v>4</v>
      </c>
      <c r="H83" s="216" t="s">
        <v>527</v>
      </c>
      <c r="I83" s="216" t="s">
        <v>513</v>
      </c>
      <c r="J83" s="216">
        <v>1987</v>
      </c>
      <c r="K83" s="216">
        <v>20</v>
      </c>
      <c r="L83" s="213">
        <v>0</v>
      </c>
      <c r="M83" s="216">
        <v>20</v>
      </c>
      <c r="N83" s="213">
        <v>0</v>
      </c>
      <c r="O83" s="213" t="s">
        <v>514</v>
      </c>
      <c r="P83" s="213">
        <v>156916523</v>
      </c>
      <c r="Q83" s="213" t="s">
        <v>515</v>
      </c>
      <c r="R83" s="213" t="s">
        <v>516</v>
      </c>
    </row>
    <row r="84" spans="1:18" ht="24" x14ac:dyDescent="0.25">
      <c r="A84" s="212" t="s">
        <v>510</v>
      </c>
      <c r="B84" s="213">
        <v>83</v>
      </c>
      <c r="C84" s="214" t="s">
        <v>608</v>
      </c>
      <c r="D84" s="215">
        <v>469700012012</v>
      </c>
      <c r="E84" s="216">
        <v>526.78</v>
      </c>
      <c r="F84" s="216">
        <v>403.93</v>
      </c>
      <c r="G84" s="216">
        <v>2</v>
      </c>
      <c r="H84" s="216" t="s">
        <v>527</v>
      </c>
      <c r="I84" s="216" t="s">
        <v>513</v>
      </c>
      <c r="J84" s="216">
        <v>1970</v>
      </c>
      <c r="K84" s="216">
        <v>8</v>
      </c>
      <c r="L84" s="213">
        <v>0</v>
      </c>
      <c r="M84" s="216">
        <v>8</v>
      </c>
      <c r="N84" s="213">
        <v>0</v>
      </c>
      <c r="O84" s="213" t="s">
        <v>514</v>
      </c>
      <c r="P84" s="213">
        <v>156916523</v>
      </c>
      <c r="Q84" s="213" t="s">
        <v>515</v>
      </c>
      <c r="R84" s="213" t="s">
        <v>516</v>
      </c>
    </row>
    <row r="85" spans="1:18" ht="24" x14ac:dyDescent="0.25">
      <c r="A85" s="212" t="s">
        <v>510</v>
      </c>
      <c r="B85" s="213">
        <v>84</v>
      </c>
      <c r="C85" s="214" t="s">
        <v>609</v>
      </c>
      <c r="D85" s="215">
        <v>469630007012</v>
      </c>
      <c r="E85" s="216">
        <v>254.69</v>
      </c>
      <c r="F85" s="216">
        <v>204.25</v>
      </c>
      <c r="G85" s="216">
        <v>1</v>
      </c>
      <c r="H85" s="216" t="s">
        <v>527</v>
      </c>
      <c r="I85" s="216" t="s">
        <v>601</v>
      </c>
      <c r="J85" s="216">
        <v>1963</v>
      </c>
      <c r="K85" s="216">
        <v>4</v>
      </c>
      <c r="L85" s="213">
        <v>0</v>
      </c>
      <c r="M85" s="216">
        <v>4</v>
      </c>
      <c r="N85" s="213">
        <v>0</v>
      </c>
      <c r="O85" s="213" t="s">
        <v>514</v>
      </c>
      <c r="P85" s="213">
        <v>156916523</v>
      </c>
      <c r="Q85" s="213" t="s">
        <v>515</v>
      </c>
      <c r="R85" s="213" t="s">
        <v>516</v>
      </c>
    </row>
    <row r="86" spans="1:18" ht="24" x14ac:dyDescent="0.25">
      <c r="A86" s="212" t="s">
        <v>510</v>
      </c>
      <c r="B86" s="213">
        <v>85</v>
      </c>
      <c r="C86" s="214" t="s">
        <v>610</v>
      </c>
      <c r="D86" s="215">
        <v>469700016012</v>
      </c>
      <c r="E86" s="216">
        <v>186.22</v>
      </c>
      <c r="F86" s="216">
        <v>186.22</v>
      </c>
      <c r="G86" s="216">
        <v>1</v>
      </c>
      <c r="H86" s="216" t="s">
        <v>611</v>
      </c>
      <c r="I86" s="216" t="s">
        <v>524</v>
      </c>
      <c r="J86" s="216">
        <v>1970</v>
      </c>
      <c r="K86" s="216">
        <v>5</v>
      </c>
      <c r="L86" s="213">
        <v>0</v>
      </c>
      <c r="M86" s="216">
        <v>5</v>
      </c>
      <c r="N86" s="213">
        <v>0</v>
      </c>
      <c r="O86" s="213"/>
      <c r="P86" s="213">
        <v>156916523</v>
      </c>
      <c r="Q86" s="213" t="s">
        <v>515</v>
      </c>
      <c r="R86" s="213" t="s">
        <v>516</v>
      </c>
    </row>
    <row r="87" spans="1:18" ht="24" x14ac:dyDescent="0.25">
      <c r="A87" s="212" t="s">
        <v>510</v>
      </c>
      <c r="B87" s="213">
        <v>86</v>
      </c>
      <c r="C87" s="214" t="s">
        <v>612</v>
      </c>
      <c r="D87" s="215">
        <v>469680019015</v>
      </c>
      <c r="E87" s="216">
        <v>2290.44</v>
      </c>
      <c r="F87" s="216">
        <v>1890.85</v>
      </c>
      <c r="G87" s="216">
        <v>5</v>
      </c>
      <c r="H87" s="216" t="s">
        <v>527</v>
      </c>
      <c r="I87" s="216" t="s">
        <v>519</v>
      </c>
      <c r="J87" s="216">
        <v>1968</v>
      </c>
      <c r="K87" s="216">
        <v>45</v>
      </c>
      <c r="L87" s="213">
        <v>0</v>
      </c>
      <c r="M87" s="216">
        <v>45</v>
      </c>
      <c r="N87" s="213">
        <v>0</v>
      </c>
      <c r="O87" s="213" t="s">
        <v>514</v>
      </c>
      <c r="P87" s="213">
        <v>156916523</v>
      </c>
      <c r="Q87" s="213" t="s">
        <v>515</v>
      </c>
      <c r="R87" s="213" t="s">
        <v>516</v>
      </c>
    </row>
    <row r="88" spans="1:18" ht="24" x14ac:dyDescent="0.25">
      <c r="A88" s="212" t="s">
        <v>510</v>
      </c>
      <c r="B88" s="213">
        <v>87</v>
      </c>
      <c r="C88" s="214" t="s">
        <v>613</v>
      </c>
      <c r="D88" s="215">
        <v>469630023016</v>
      </c>
      <c r="E88" s="216">
        <v>3451.13</v>
      </c>
      <c r="F88" s="216">
        <v>2841.49</v>
      </c>
      <c r="G88" s="216">
        <v>5</v>
      </c>
      <c r="H88" s="216" t="s">
        <v>518</v>
      </c>
      <c r="I88" s="216" t="s">
        <v>542</v>
      </c>
      <c r="J88" s="216">
        <v>1963</v>
      </c>
      <c r="K88" s="216">
        <v>59</v>
      </c>
      <c r="L88" s="213">
        <v>1</v>
      </c>
      <c r="M88" s="216">
        <v>59</v>
      </c>
      <c r="N88" s="213">
        <v>1</v>
      </c>
      <c r="O88" s="213" t="s">
        <v>514</v>
      </c>
      <c r="P88" s="213">
        <v>156916523</v>
      </c>
      <c r="Q88" s="213" t="s">
        <v>515</v>
      </c>
      <c r="R88" s="213" t="s">
        <v>516</v>
      </c>
    </row>
    <row r="89" spans="1:18" ht="24" x14ac:dyDescent="0.25">
      <c r="A89" s="212" t="s">
        <v>510</v>
      </c>
      <c r="B89" s="213">
        <v>88</v>
      </c>
      <c r="C89" s="214" t="s">
        <v>614</v>
      </c>
      <c r="D89" s="215">
        <v>469630024013</v>
      </c>
      <c r="E89" s="216">
        <v>3450.4</v>
      </c>
      <c r="F89" s="216">
        <v>2795.52</v>
      </c>
      <c r="G89" s="216">
        <v>5</v>
      </c>
      <c r="H89" s="216" t="s">
        <v>518</v>
      </c>
      <c r="I89" s="216" t="s">
        <v>542</v>
      </c>
      <c r="J89" s="216">
        <v>1963</v>
      </c>
      <c r="K89" s="216">
        <v>58</v>
      </c>
      <c r="L89" s="213">
        <v>279</v>
      </c>
      <c r="M89" s="216">
        <v>58</v>
      </c>
      <c r="N89" s="213">
        <v>2</v>
      </c>
      <c r="O89" s="213" t="s">
        <v>514</v>
      </c>
      <c r="P89" s="213">
        <v>156916523</v>
      </c>
      <c r="Q89" s="213" t="s">
        <v>515</v>
      </c>
      <c r="R89" s="213" t="s">
        <v>516</v>
      </c>
    </row>
    <row r="90" spans="1:18" ht="24" x14ac:dyDescent="0.25">
      <c r="A90" s="212" t="s">
        <v>510</v>
      </c>
      <c r="B90" s="213">
        <v>89</v>
      </c>
      <c r="C90" s="214" t="s">
        <v>615</v>
      </c>
      <c r="D90" s="215">
        <v>469610040019</v>
      </c>
      <c r="E90" s="216">
        <v>1570.9</v>
      </c>
      <c r="F90" s="216">
        <v>931.73</v>
      </c>
      <c r="G90" s="216">
        <v>4</v>
      </c>
      <c r="H90" s="216" t="s">
        <v>527</v>
      </c>
      <c r="I90" s="216" t="s">
        <v>542</v>
      </c>
      <c r="J90" s="216">
        <v>1961</v>
      </c>
      <c r="K90" s="216">
        <v>24</v>
      </c>
      <c r="L90" s="213">
        <v>2</v>
      </c>
      <c r="M90" s="216">
        <v>24</v>
      </c>
      <c r="N90" s="213">
        <v>2</v>
      </c>
      <c r="O90" s="213" t="s">
        <v>514</v>
      </c>
      <c r="P90" s="213">
        <v>156916523</v>
      </c>
      <c r="Q90" s="213" t="s">
        <v>515</v>
      </c>
      <c r="R90" s="213" t="s">
        <v>516</v>
      </c>
    </row>
    <row r="91" spans="1:18" ht="24" x14ac:dyDescent="0.25">
      <c r="A91" s="212" t="s">
        <v>510</v>
      </c>
      <c r="B91" s="213">
        <v>90</v>
      </c>
      <c r="C91" s="214" t="s">
        <v>616</v>
      </c>
      <c r="D91" s="215">
        <v>469620034016</v>
      </c>
      <c r="E91" s="216">
        <v>1370.6</v>
      </c>
      <c r="F91" s="216">
        <v>805.15</v>
      </c>
      <c r="G91" s="216">
        <v>3</v>
      </c>
      <c r="H91" s="216" t="s">
        <v>527</v>
      </c>
      <c r="I91" s="216" t="s">
        <v>617</v>
      </c>
      <c r="J91" s="216">
        <v>1962</v>
      </c>
      <c r="K91" s="216">
        <v>19</v>
      </c>
      <c r="L91" s="213">
        <v>5</v>
      </c>
      <c r="M91" s="216">
        <v>18</v>
      </c>
      <c r="N91" s="213">
        <v>4</v>
      </c>
      <c r="O91" s="213" t="s">
        <v>514</v>
      </c>
      <c r="P91" s="213">
        <v>156916523</v>
      </c>
      <c r="Q91" s="213" t="s">
        <v>515</v>
      </c>
      <c r="R91" s="213" t="s">
        <v>516</v>
      </c>
    </row>
    <row r="92" spans="1:18" ht="24" x14ac:dyDescent="0.25">
      <c r="A92" s="212" t="s">
        <v>510</v>
      </c>
      <c r="B92" s="213">
        <v>91</v>
      </c>
      <c r="C92" s="214" t="s">
        <v>618</v>
      </c>
      <c r="D92" s="215">
        <v>469550008015</v>
      </c>
      <c r="E92" s="216">
        <v>500.34</v>
      </c>
      <c r="F92" s="216">
        <v>281.17</v>
      </c>
      <c r="G92" s="216">
        <v>2</v>
      </c>
      <c r="H92" s="216" t="s">
        <v>527</v>
      </c>
      <c r="I92" s="216" t="s">
        <v>601</v>
      </c>
      <c r="J92" s="216">
        <v>1955</v>
      </c>
      <c r="K92" s="216">
        <v>6</v>
      </c>
      <c r="L92" s="213">
        <v>2</v>
      </c>
      <c r="M92" s="216">
        <v>6</v>
      </c>
      <c r="N92" s="213">
        <v>2</v>
      </c>
      <c r="O92" s="213" t="s">
        <v>514</v>
      </c>
      <c r="P92" s="213">
        <v>156916523</v>
      </c>
      <c r="Q92" s="213" t="s">
        <v>515</v>
      </c>
      <c r="R92" s="213" t="s">
        <v>516</v>
      </c>
    </row>
    <row r="93" spans="1:18" ht="24" x14ac:dyDescent="0.25">
      <c r="A93" s="212" t="s">
        <v>510</v>
      </c>
      <c r="B93" s="213">
        <v>92</v>
      </c>
      <c r="C93" s="214" t="s">
        <v>619</v>
      </c>
      <c r="D93" s="215">
        <v>469580018014</v>
      </c>
      <c r="E93" s="216">
        <v>3451.63</v>
      </c>
      <c r="F93" s="216">
        <v>2774.03</v>
      </c>
      <c r="G93" s="216">
        <v>5</v>
      </c>
      <c r="H93" s="216" t="s">
        <v>518</v>
      </c>
      <c r="I93" s="216" t="s">
        <v>542</v>
      </c>
      <c r="J93" s="216">
        <v>1962</v>
      </c>
      <c r="K93" s="216">
        <v>58</v>
      </c>
      <c r="L93" s="213">
        <v>2</v>
      </c>
      <c r="M93" s="216">
        <v>58</v>
      </c>
      <c r="N93" s="213">
        <v>2</v>
      </c>
      <c r="O93" s="213" t="s">
        <v>514</v>
      </c>
      <c r="P93" s="213">
        <v>156916523</v>
      </c>
      <c r="Q93" s="213" t="s">
        <v>515</v>
      </c>
      <c r="R93" s="213" t="s">
        <v>516</v>
      </c>
    </row>
    <row r="94" spans="1:18" ht="24" x14ac:dyDescent="0.25">
      <c r="A94" s="212" t="s">
        <v>510</v>
      </c>
      <c r="B94" s="213">
        <v>93</v>
      </c>
      <c r="C94" s="214" t="s">
        <v>620</v>
      </c>
      <c r="D94" s="215">
        <v>469550009012</v>
      </c>
      <c r="E94" s="216">
        <v>551.64</v>
      </c>
      <c r="F94" s="216">
        <v>269.52</v>
      </c>
      <c r="G94" s="216">
        <v>2</v>
      </c>
      <c r="H94" s="216" t="s">
        <v>527</v>
      </c>
      <c r="I94" s="216" t="s">
        <v>601</v>
      </c>
      <c r="J94" s="216">
        <v>1955</v>
      </c>
      <c r="K94" s="216">
        <v>1</v>
      </c>
      <c r="L94" s="213">
        <v>2</v>
      </c>
      <c r="M94" s="216">
        <v>6</v>
      </c>
      <c r="N94" s="213">
        <v>2</v>
      </c>
      <c r="O94" s="213" t="s">
        <v>514</v>
      </c>
      <c r="P94" s="213">
        <v>156916523</v>
      </c>
      <c r="Q94" s="213" t="s">
        <v>515</v>
      </c>
      <c r="R94" s="213" t="s">
        <v>516</v>
      </c>
    </row>
    <row r="95" spans="1:18" ht="24" x14ac:dyDescent="0.25">
      <c r="A95" s="212" t="s">
        <v>510</v>
      </c>
      <c r="B95" s="213">
        <v>94</v>
      </c>
      <c r="C95" s="214" t="s">
        <v>621</v>
      </c>
      <c r="D95" s="215">
        <v>440002937756</v>
      </c>
      <c r="E95" s="216">
        <v>1674.93</v>
      </c>
      <c r="F95" s="216">
        <v>1217.82</v>
      </c>
      <c r="G95" s="216">
        <v>3</v>
      </c>
      <c r="H95" s="216" t="s">
        <v>527</v>
      </c>
      <c r="I95" s="216" t="s">
        <v>617</v>
      </c>
      <c r="J95" s="216">
        <v>1967</v>
      </c>
      <c r="K95" s="216">
        <v>34</v>
      </c>
      <c r="L95" s="213">
        <v>185</v>
      </c>
      <c r="M95" s="216">
        <v>34</v>
      </c>
      <c r="N95" s="213">
        <v>1</v>
      </c>
      <c r="O95" s="213" t="s">
        <v>514</v>
      </c>
      <c r="P95" s="213">
        <v>156916523</v>
      </c>
      <c r="Q95" s="213" t="s">
        <v>515</v>
      </c>
      <c r="R95" s="213" t="s">
        <v>516</v>
      </c>
    </row>
    <row r="96" spans="1:18" ht="24" x14ac:dyDescent="0.25">
      <c r="A96" s="212" t="s">
        <v>510</v>
      </c>
      <c r="B96" s="213">
        <v>95</v>
      </c>
      <c r="C96" s="214" t="s">
        <v>622</v>
      </c>
      <c r="D96" s="215">
        <v>469840014018</v>
      </c>
      <c r="E96" s="216">
        <v>1411.34</v>
      </c>
      <c r="F96" s="216">
        <v>1054.4100000000001</v>
      </c>
      <c r="G96" s="216">
        <v>4</v>
      </c>
      <c r="H96" s="216" t="s">
        <v>527</v>
      </c>
      <c r="I96" s="216" t="s">
        <v>542</v>
      </c>
      <c r="J96" s="216">
        <v>1984</v>
      </c>
      <c r="K96" s="216">
        <v>0</v>
      </c>
      <c r="L96" s="213">
        <v>0</v>
      </c>
      <c r="M96" s="216">
        <v>20</v>
      </c>
      <c r="N96" s="213">
        <v>0</v>
      </c>
      <c r="O96" s="213" t="s">
        <v>514</v>
      </c>
      <c r="P96" s="213">
        <v>156916523</v>
      </c>
      <c r="Q96" s="213" t="s">
        <v>515</v>
      </c>
      <c r="R96" s="213" t="s">
        <v>516</v>
      </c>
    </row>
    <row r="97" spans="1:18" ht="24" x14ac:dyDescent="0.25">
      <c r="A97" s="212" t="s">
        <v>510</v>
      </c>
      <c r="B97" s="213">
        <v>96</v>
      </c>
      <c r="C97" s="214" t="s">
        <v>623</v>
      </c>
      <c r="D97" s="215">
        <v>469670013016</v>
      </c>
      <c r="E97" s="216">
        <v>2304.09</v>
      </c>
      <c r="F97" s="216">
        <v>1899.69</v>
      </c>
      <c r="G97" s="216">
        <v>5</v>
      </c>
      <c r="H97" s="216" t="s">
        <v>527</v>
      </c>
      <c r="I97" s="216" t="s">
        <v>513</v>
      </c>
      <c r="J97" s="216">
        <v>1967</v>
      </c>
      <c r="K97" s="216">
        <v>45</v>
      </c>
      <c r="L97" s="213">
        <v>0</v>
      </c>
      <c r="M97" s="216">
        <v>45</v>
      </c>
      <c r="N97" s="213">
        <v>0</v>
      </c>
      <c r="O97" s="213" t="s">
        <v>514</v>
      </c>
      <c r="P97" s="213">
        <v>156916523</v>
      </c>
      <c r="Q97" s="213" t="s">
        <v>515</v>
      </c>
      <c r="R97" s="213" t="s">
        <v>516</v>
      </c>
    </row>
    <row r="98" spans="1:18" ht="24" x14ac:dyDescent="0.25">
      <c r="A98" s="212" t="s">
        <v>510</v>
      </c>
      <c r="B98" s="213">
        <v>97</v>
      </c>
      <c r="C98" s="214" t="s">
        <v>624</v>
      </c>
      <c r="D98" s="215">
        <v>469820005018</v>
      </c>
      <c r="E98" s="216">
        <v>2640.35</v>
      </c>
      <c r="F98" s="216">
        <v>2118.11</v>
      </c>
      <c r="G98" s="216">
        <v>9</v>
      </c>
      <c r="H98" s="216" t="s">
        <v>527</v>
      </c>
      <c r="I98" s="216" t="s">
        <v>519</v>
      </c>
      <c r="J98" s="216">
        <v>1982</v>
      </c>
      <c r="K98" s="216">
        <v>72</v>
      </c>
      <c r="L98" s="216">
        <v>0</v>
      </c>
      <c r="M98" s="216">
        <v>72</v>
      </c>
      <c r="N98" s="216">
        <v>0</v>
      </c>
      <c r="O98" s="213" t="s">
        <v>514</v>
      </c>
      <c r="P98" s="213">
        <v>156916523</v>
      </c>
      <c r="Q98" s="213" t="s">
        <v>515</v>
      </c>
      <c r="R98" s="213" t="s">
        <v>516</v>
      </c>
    </row>
    <row r="99" spans="1:18" ht="24" x14ac:dyDescent="0.25">
      <c r="A99" s="212" t="s">
        <v>510</v>
      </c>
      <c r="B99" s="213">
        <v>98</v>
      </c>
      <c r="C99" s="214" t="s">
        <v>625</v>
      </c>
      <c r="D99" s="215">
        <v>469720007011</v>
      </c>
      <c r="E99" s="216">
        <v>3069.85</v>
      </c>
      <c r="F99" s="216">
        <v>2555.23</v>
      </c>
      <c r="G99" s="216">
        <v>5</v>
      </c>
      <c r="H99" s="216" t="s">
        <v>527</v>
      </c>
      <c r="I99" s="216" t="s">
        <v>513</v>
      </c>
      <c r="J99" s="216">
        <v>1972</v>
      </c>
      <c r="K99" s="216">
        <v>50</v>
      </c>
      <c r="L99" s="213">
        <v>0</v>
      </c>
      <c r="M99" s="216">
        <v>50</v>
      </c>
      <c r="N99" s="213">
        <v>0</v>
      </c>
      <c r="O99" s="213" t="s">
        <v>514</v>
      </c>
      <c r="P99" s="213">
        <v>156916523</v>
      </c>
      <c r="Q99" s="213" t="s">
        <v>515</v>
      </c>
      <c r="R99" s="213" t="s">
        <v>516</v>
      </c>
    </row>
    <row r="100" spans="1:18" ht="24" x14ac:dyDescent="0.25">
      <c r="A100" s="212" t="s">
        <v>510</v>
      </c>
      <c r="B100" s="213">
        <v>99</v>
      </c>
      <c r="C100" s="214" t="s">
        <v>626</v>
      </c>
      <c r="D100" s="215">
        <v>469770004010</v>
      </c>
      <c r="E100" s="216">
        <v>3063</v>
      </c>
      <c r="F100" s="216">
        <v>2555.31</v>
      </c>
      <c r="G100" s="216">
        <v>5</v>
      </c>
      <c r="H100" s="216" t="s">
        <v>527</v>
      </c>
      <c r="I100" s="216" t="s">
        <v>513</v>
      </c>
      <c r="J100" s="216">
        <v>1977</v>
      </c>
      <c r="K100" s="216">
        <v>50</v>
      </c>
      <c r="L100" s="213">
        <v>0</v>
      </c>
      <c r="M100" s="216">
        <v>50</v>
      </c>
      <c r="N100" s="213">
        <v>0</v>
      </c>
      <c r="O100" s="213" t="s">
        <v>514</v>
      </c>
      <c r="P100" s="213">
        <v>156916523</v>
      </c>
      <c r="Q100" s="213" t="s">
        <v>515</v>
      </c>
      <c r="R100" s="213" t="s">
        <v>516</v>
      </c>
    </row>
    <row r="101" spans="1:18" ht="24" x14ac:dyDescent="0.25">
      <c r="A101" s="212" t="s">
        <v>510</v>
      </c>
      <c r="B101" s="213">
        <v>100</v>
      </c>
      <c r="C101" s="214" t="s">
        <v>627</v>
      </c>
      <c r="D101" s="215">
        <v>469890013010</v>
      </c>
      <c r="E101" s="216">
        <v>2937.83</v>
      </c>
      <c r="F101" s="216">
        <v>2357.14</v>
      </c>
      <c r="G101" s="216">
        <v>5</v>
      </c>
      <c r="H101" s="216" t="s">
        <v>518</v>
      </c>
      <c r="I101" s="216" t="s">
        <v>519</v>
      </c>
      <c r="J101" s="216">
        <v>1989</v>
      </c>
      <c r="K101" s="216">
        <v>0</v>
      </c>
      <c r="L101" s="213">
        <v>0</v>
      </c>
      <c r="M101" s="216">
        <v>64</v>
      </c>
      <c r="N101" s="213">
        <v>0</v>
      </c>
      <c r="O101" s="213" t="s">
        <v>514</v>
      </c>
      <c r="P101" s="213">
        <v>156916523</v>
      </c>
      <c r="Q101" s="213" t="s">
        <v>515</v>
      </c>
      <c r="R101" s="213" t="s">
        <v>516</v>
      </c>
    </row>
    <row r="102" spans="1:18" ht="24" x14ac:dyDescent="0.25">
      <c r="A102" s="212" t="s">
        <v>510</v>
      </c>
      <c r="B102" s="213">
        <v>101</v>
      </c>
      <c r="C102" s="214" t="s">
        <v>628</v>
      </c>
      <c r="D102" s="215">
        <v>469790005016</v>
      </c>
      <c r="E102" s="216">
        <v>2756.45</v>
      </c>
      <c r="F102" s="216">
        <v>2324.98</v>
      </c>
      <c r="G102" s="216">
        <v>6</v>
      </c>
      <c r="H102" s="216" t="s">
        <v>527</v>
      </c>
      <c r="I102" s="216" t="s">
        <v>542</v>
      </c>
      <c r="J102" s="216">
        <v>1979</v>
      </c>
      <c r="K102" s="216">
        <v>0</v>
      </c>
      <c r="L102" s="213">
        <v>0</v>
      </c>
      <c r="M102" s="216">
        <v>44</v>
      </c>
      <c r="N102" s="213">
        <v>0</v>
      </c>
      <c r="O102" s="213" t="s">
        <v>514</v>
      </c>
      <c r="P102" s="213">
        <v>156916523</v>
      </c>
      <c r="Q102" s="213" t="s">
        <v>515</v>
      </c>
      <c r="R102" s="213" t="s">
        <v>516</v>
      </c>
    </row>
    <row r="103" spans="1:18" ht="24" x14ac:dyDescent="0.25">
      <c r="A103" s="212" t="s">
        <v>510</v>
      </c>
      <c r="B103" s="213">
        <v>102</v>
      </c>
      <c r="C103" s="214" t="s">
        <v>629</v>
      </c>
      <c r="D103" s="215">
        <v>469750009012</v>
      </c>
      <c r="E103" s="216">
        <v>2874.52</v>
      </c>
      <c r="F103" s="216">
        <v>2310.6799999999998</v>
      </c>
      <c r="G103" s="216">
        <v>5</v>
      </c>
      <c r="H103" s="216" t="s">
        <v>518</v>
      </c>
      <c r="I103" s="216" t="s">
        <v>542</v>
      </c>
      <c r="J103" s="216">
        <v>1975</v>
      </c>
      <c r="K103" s="216">
        <v>45</v>
      </c>
      <c r="L103" s="213">
        <v>0</v>
      </c>
      <c r="M103" s="216">
        <v>45</v>
      </c>
      <c r="N103" s="213">
        <v>0</v>
      </c>
      <c r="O103" s="213" t="s">
        <v>514</v>
      </c>
      <c r="P103" s="213">
        <v>156916523</v>
      </c>
      <c r="Q103" s="213" t="s">
        <v>515</v>
      </c>
      <c r="R103" s="213" t="s">
        <v>516</v>
      </c>
    </row>
    <row r="104" spans="1:18" ht="24" x14ac:dyDescent="0.25">
      <c r="A104" s="212" t="s">
        <v>510</v>
      </c>
      <c r="B104" s="213">
        <v>103</v>
      </c>
      <c r="C104" s="214" t="s">
        <v>630</v>
      </c>
      <c r="D104" s="215">
        <v>469670014013</v>
      </c>
      <c r="E104" s="216">
        <v>3249.92</v>
      </c>
      <c r="F104" s="216">
        <v>2486.67</v>
      </c>
      <c r="G104" s="216">
        <v>5</v>
      </c>
      <c r="H104" s="216" t="s">
        <v>527</v>
      </c>
      <c r="I104" s="216" t="s">
        <v>542</v>
      </c>
      <c r="J104" s="216">
        <v>1967</v>
      </c>
      <c r="K104" s="216">
        <v>53</v>
      </c>
      <c r="L104" s="213">
        <v>336</v>
      </c>
      <c r="M104" s="216">
        <v>53</v>
      </c>
      <c r="N104" s="213">
        <v>1</v>
      </c>
      <c r="O104" s="213" t="s">
        <v>514</v>
      </c>
      <c r="P104" s="213">
        <v>156916523</v>
      </c>
      <c r="Q104" s="213" t="s">
        <v>515</v>
      </c>
      <c r="R104" s="213" t="s">
        <v>516</v>
      </c>
    </row>
    <row r="105" spans="1:18" ht="24" x14ac:dyDescent="0.25">
      <c r="A105" s="212" t="s">
        <v>510</v>
      </c>
      <c r="B105" s="213">
        <v>104</v>
      </c>
      <c r="C105" s="214" t="s">
        <v>631</v>
      </c>
      <c r="D105" s="215">
        <v>469690013014</v>
      </c>
      <c r="E105" s="216">
        <v>1563.52</v>
      </c>
      <c r="F105" s="216">
        <v>1305.1600000000001</v>
      </c>
      <c r="G105" s="216">
        <v>5</v>
      </c>
      <c r="H105" s="216" t="s">
        <v>527</v>
      </c>
      <c r="I105" s="216" t="s">
        <v>542</v>
      </c>
      <c r="J105" s="216">
        <v>1969</v>
      </c>
      <c r="K105" s="216">
        <v>0</v>
      </c>
      <c r="L105" s="216">
        <v>0</v>
      </c>
      <c r="M105" s="216">
        <v>24</v>
      </c>
      <c r="N105" s="216">
        <v>0</v>
      </c>
      <c r="O105" s="213" t="s">
        <v>514</v>
      </c>
      <c r="P105" s="213">
        <v>156916523</v>
      </c>
      <c r="Q105" s="213" t="s">
        <v>515</v>
      </c>
      <c r="R105" s="213" t="s">
        <v>516</v>
      </c>
    </row>
    <row r="106" spans="1:18" ht="24" x14ac:dyDescent="0.25">
      <c r="A106" s="212" t="s">
        <v>510</v>
      </c>
      <c r="B106" s="213">
        <v>105</v>
      </c>
      <c r="C106" s="214" t="s">
        <v>632</v>
      </c>
      <c r="D106" s="215">
        <v>469670016019</v>
      </c>
      <c r="E106" s="216">
        <v>3253.69</v>
      </c>
      <c r="F106" s="216">
        <v>2576.62</v>
      </c>
      <c r="G106" s="216">
        <v>5</v>
      </c>
      <c r="H106" s="216" t="s">
        <v>523</v>
      </c>
      <c r="I106" s="216" t="s">
        <v>519</v>
      </c>
      <c r="J106" s="216">
        <v>1967</v>
      </c>
      <c r="K106" s="216">
        <v>59</v>
      </c>
      <c r="L106" s="213">
        <v>1</v>
      </c>
      <c r="M106" s="216">
        <v>59</v>
      </c>
      <c r="N106" s="213">
        <v>1</v>
      </c>
      <c r="O106" s="213" t="s">
        <v>514</v>
      </c>
      <c r="P106" s="213">
        <v>156916523</v>
      </c>
      <c r="Q106" s="213" t="s">
        <v>515</v>
      </c>
      <c r="R106" s="213" t="s">
        <v>516</v>
      </c>
    </row>
    <row r="107" spans="1:18" ht="24" x14ac:dyDescent="0.25">
      <c r="A107" s="212" t="s">
        <v>510</v>
      </c>
      <c r="B107" s="213">
        <v>106</v>
      </c>
      <c r="C107" s="214" t="s">
        <v>633</v>
      </c>
      <c r="D107" s="217">
        <v>469750013010</v>
      </c>
      <c r="E107" s="214">
        <v>2791</v>
      </c>
      <c r="F107" s="214">
        <v>2321.4699999999998</v>
      </c>
      <c r="G107" s="214">
        <v>5</v>
      </c>
      <c r="H107" s="214" t="s">
        <v>512</v>
      </c>
      <c r="I107" s="214" t="s">
        <v>513</v>
      </c>
      <c r="J107" s="214">
        <v>1975</v>
      </c>
      <c r="K107" s="214">
        <v>45</v>
      </c>
      <c r="L107" s="214">
        <v>0</v>
      </c>
      <c r="M107" s="214">
        <v>45</v>
      </c>
      <c r="N107" s="214">
        <v>0</v>
      </c>
      <c r="O107" s="213" t="s">
        <v>514</v>
      </c>
      <c r="P107" s="218">
        <v>156916523</v>
      </c>
      <c r="Q107" s="218" t="s">
        <v>515</v>
      </c>
      <c r="R107" s="218" t="s">
        <v>516</v>
      </c>
    </row>
    <row r="108" spans="1:18" ht="24" x14ac:dyDescent="0.25">
      <c r="A108" s="212" t="s">
        <v>510</v>
      </c>
      <c r="B108" s="213">
        <v>107</v>
      </c>
      <c r="C108" s="214" t="s">
        <v>634</v>
      </c>
      <c r="D108" s="217">
        <v>469730009010</v>
      </c>
      <c r="E108" s="214">
        <v>4819.6499999999996</v>
      </c>
      <c r="F108" s="214">
        <v>4016.16</v>
      </c>
      <c r="G108" s="214">
        <v>5</v>
      </c>
      <c r="H108" s="214" t="s">
        <v>512</v>
      </c>
      <c r="I108" s="214" t="s">
        <v>513</v>
      </c>
      <c r="J108" s="214">
        <v>1973</v>
      </c>
      <c r="K108" s="214">
        <v>75</v>
      </c>
      <c r="L108" s="214">
        <v>0</v>
      </c>
      <c r="M108" s="214">
        <v>75</v>
      </c>
      <c r="N108" s="214">
        <v>0</v>
      </c>
      <c r="O108" s="213" t="s">
        <v>514</v>
      </c>
      <c r="P108" s="218">
        <v>156916523</v>
      </c>
      <c r="Q108" s="218" t="s">
        <v>515</v>
      </c>
      <c r="R108" s="218" t="s">
        <v>516</v>
      </c>
    </row>
    <row r="109" spans="1:18" ht="24" x14ac:dyDescent="0.25">
      <c r="A109" s="212" t="s">
        <v>510</v>
      </c>
      <c r="B109" s="213">
        <v>108</v>
      </c>
      <c r="C109" s="214" t="s">
        <v>635</v>
      </c>
      <c r="D109" s="217">
        <v>469690014011</v>
      </c>
      <c r="E109" s="214">
        <v>3230.98</v>
      </c>
      <c r="F109" s="214">
        <v>2711.62</v>
      </c>
      <c r="G109" s="214">
        <v>5</v>
      </c>
      <c r="H109" s="214" t="s">
        <v>518</v>
      </c>
      <c r="I109" s="214" t="s">
        <v>513</v>
      </c>
      <c r="J109" s="214">
        <v>1969</v>
      </c>
      <c r="K109" s="214">
        <v>60</v>
      </c>
      <c r="L109" s="218">
        <v>0</v>
      </c>
      <c r="M109" s="214">
        <v>60</v>
      </c>
      <c r="N109" s="218">
        <v>0</v>
      </c>
      <c r="O109" s="213" t="s">
        <v>514</v>
      </c>
      <c r="P109" s="218">
        <v>156916523</v>
      </c>
      <c r="Q109" s="218" t="s">
        <v>515</v>
      </c>
      <c r="R109" s="218" t="s">
        <v>516</v>
      </c>
    </row>
    <row r="110" spans="1:18" ht="24" x14ac:dyDescent="0.25">
      <c r="A110" s="212" t="s">
        <v>510</v>
      </c>
      <c r="B110" s="213">
        <v>109</v>
      </c>
      <c r="C110" s="214" t="s">
        <v>636</v>
      </c>
      <c r="D110" s="217">
        <v>469710009012</v>
      </c>
      <c r="E110" s="214">
        <v>2201.0700000000002</v>
      </c>
      <c r="F110" s="214">
        <v>1932</v>
      </c>
      <c r="G110" s="214">
        <v>5</v>
      </c>
      <c r="H110" s="214" t="s">
        <v>550</v>
      </c>
      <c r="I110" s="214" t="s">
        <v>524</v>
      </c>
      <c r="J110" s="214">
        <v>1971</v>
      </c>
      <c r="K110" s="214">
        <v>39</v>
      </c>
      <c r="L110" s="218">
        <v>1</v>
      </c>
      <c r="M110" s="214">
        <v>39</v>
      </c>
      <c r="N110" s="218">
        <v>1</v>
      </c>
      <c r="O110" s="213" t="s">
        <v>514</v>
      </c>
      <c r="P110" s="218">
        <v>156916523</v>
      </c>
      <c r="Q110" s="218" t="s">
        <v>515</v>
      </c>
      <c r="R110" s="218" t="s">
        <v>516</v>
      </c>
    </row>
    <row r="111" spans="1:18" ht="24" x14ac:dyDescent="0.25">
      <c r="A111" s="212" t="s">
        <v>510</v>
      </c>
      <c r="B111" s="213">
        <v>110</v>
      </c>
      <c r="C111" s="214" t="s">
        <v>637</v>
      </c>
      <c r="D111" s="217">
        <v>469760010012</v>
      </c>
      <c r="E111" s="214">
        <v>2557.63</v>
      </c>
      <c r="F111" s="214">
        <v>2115.62</v>
      </c>
      <c r="G111" s="214">
        <v>9</v>
      </c>
      <c r="H111" s="214" t="s">
        <v>550</v>
      </c>
      <c r="I111" s="214" t="s">
        <v>513</v>
      </c>
      <c r="J111" s="214">
        <v>1976</v>
      </c>
      <c r="K111" s="214">
        <v>72</v>
      </c>
      <c r="L111" s="218">
        <v>0</v>
      </c>
      <c r="M111" s="214">
        <v>72</v>
      </c>
      <c r="N111" s="218">
        <v>0</v>
      </c>
      <c r="O111" s="213" t="s">
        <v>514</v>
      </c>
      <c r="P111" s="218">
        <v>156916523</v>
      </c>
      <c r="Q111" s="218" t="s">
        <v>515</v>
      </c>
      <c r="R111" s="218" t="s">
        <v>516</v>
      </c>
    </row>
    <row r="112" spans="1:18" ht="24" x14ac:dyDescent="0.25">
      <c r="A112" s="212" t="s">
        <v>510</v>
      </c>
      <c r="B112" s="213">
        <v>111</v>
      </c>
      <c r="C112" s="214" t="s">
        <v>638</v>
      </c>
      <c r="D112" s="217">
        <v>469700021011</v>
      </c>
      <c r="E112" s="214">
        <v>3228.37</v>
      </c>
      <c r="F112" s="214">
        <v>2711.54</v>
      </c>
      <c r="G112" s="214">
        <v>5</v>
      </c>
      <c r="H112" s="214" t="s">
        <v>512</v>
      </c>
      <c r="I112" s="214" t="s">
        <v>513</v>
      </c>
      <c r="J112" s="214">
        <v>1970</v>
      </c>
      <c r="K112" s="214">
        <v>60</v>
      </c>
      <c r="L112" s="218">
        <v>0</v>
      </c>
      <c r="M112" s="214">
        <v>60</v>
      </c>
      <c r="N112" s="218">
        <v>0</v>
      </c>
      <c r="O112" s="213" t="s">
        <v>514</v>
      </c>
      <c r="P112" s="218">
        <v>156916523</v>
      </c>
      <c r="Q112" s="218" t="s">
        <v>515</v>
      </c>
      <c r="R112" s="218" t="s">
        <v>516</v>
      </c>
    </row>
    <row r="113" spans="1:18" ht="24" x14ac:dyDescent="0.25">
      <c r="A113" s="212" t="s">
        <v>510</v>
      </c>
      <c r="B113" s="213">
        <v>112</v>
      </c>
      <c r="C113" s="214" t="s">
        <v>639</v>
      </c>
      <c r="D113" s="217">
        <v>469700022018</v>
      </c>
      <c r="E113" s="214">
        <v>3228.37</v>
      </c>
      <c r="F113" s="214">
        <v>2711.54</v>
      </c>
      <c r="G113" s="214">
        <v>5</v>
      </c>
      <c r="H113" s="214" t="s">
        <v>512</v>
      </c>
      <c r="I113" s="214" t="s">
        <v>513</v>
      </c>
      <c r="J113" s="214">
        <v>1970</v>
      </c>
      <c r="K113" s="214">
        <v>60</v>
      </c>
      <c r="L113" s="218">
        <v>0</v>
      </c>
      <c r="M113" s="214">
        <v>60</v>
      </c>
      <c r="N113" s="218">
        <v>0</v>
      </c>
      <c r="O113" s="213" t="s">
        <v>514</v>
      </c>
      <c r="P113" s="218">
        <v>156916523</v>
      </c>
      <c r="Q113" s="218" t="s">
        <v>515</v>
      </c>
      <c r="R113" s="218" t="s">
        <v>516</v>
      </c>
    </row>
    <row r="114" spans="1:18" ht="24" x14ac:dyDescent="0.25">
      <c r="A114" s="212" t="s">
        <v>510</v>
      </c>
      <c r="B114" s="213">
        <v>113</v>
      </c>
      <c r="C114" s="214" t="s">
        <v>640</v>
      </c>
      <c r="D114" s="217">
        <v>469700023017</v>
      </c>
      <c r="E114" s="214">
        <v>3236.26</v>
      </c>
      <c r="F114" s="214">
        <v>2711.54</v>
      </c>
      <c r="G114" s="214">
        <v>5</v>
      </c>
      <c r="H114" s="214" t="s">
        <v>523</v>
      </c>
      <c r="I114" s="214" t="s">
        <v>513</v>
      </c>
      <c r="J114" s="214">
        <v>1970</v>
      </c>
      <c r="K114" s="214">
        <v>60</v>
      </c>
      <c r="L114" s="218">
        <v>0</v>
      </c>
      <c r="M114" s="214">
        <v>60</v>
      </c>
      <c r="N114" s="218">
        <v>0</v>
      </c>
      <c r="O114" s="213" t="s">
        <v>514</v>
      </c>
      <c r="P114" s="218">
        <v>156916523</v>
      </c>
      <c r="Q114" s="218" t="s">
        <v>515</v>
      </c>
      <c r="R114" s="218" t="s">
        <v>516</v>
      </c>
    </row>
    <row r="115" spans="1:18" ht="24" x14ac:dyDescent="0.25">
      <c r="A115" s="212" t="s">
        <v>510</v>
      </c>
      <c r="B115" s="213">
        <v>114</v>
      </c>
      <c r="C115" s="214" t="s">
        <v>641</v>
      </c>
      <c r="D115" s="217">
        <v>469700024014</v>
      </c>
      <c r="E115" s="214">
        <v>3228.25</v>
      </c>
      <c r="F115" s="214">
        <v>2711.42</v>
      </c>
      <c r="G115" s="214">
        <v>5</v>
      </c>
      <c r="H115" s="214" t="s">
        <v>518</v>
      </c>
      <c r="I115" s="214" t="s">
        <v>519</v>
      </c>
      <c r="J115" s="214">
        <v>1970</v>
      </c>
      <c r="K115" s="214">
        <v>60</v>
      </c>
      <c r="L115" s="218">
        <v>0</v>
      </c>
      <c r="M115" s="214">
        <v>60</v>
      </c>
      <c r="N115" s="218">
        <v>0</v>
      </c>
      <c r="O115" s="213" t="s">
        <v>514</v>
      </c>
      <c r="P115" s="218">
        <v>156916523</v>
      </c>
      <c r="Q115" s="218" t="s">
        <v>515</v>
      </c>
      <c r="R115" s="218" t="s">
        <v>516</v>
      </c>
    </row>
    <row r="116" spans="1:18" ht="24" x14ac:dyDescent="0.25">
      <c r="A116" s="212" t="s">
        <v>510</v>
      </c>
      <c r="B116" s="213">
        <v>115</v>
      </c>
      <c r="C116" s="214" t="s">
        <v>642</v>
      </c>
      <c r="D116" s="217">
        <v>469700025011</v>
      </c>
      <c r="E116" s="214">
        <v>3253.69</v>
      </c>
      <c r="F116" s="214">
        <v>2701.09</v>
      </c>
      <c r="G116" s="214">
        <v>5</v>
      </c>
      <c r="H116" s="214" t="s">
        <v>512</v>
      </c>
      <c r="I116" s="214" t="s">
        <v>513</v>
      </c>
      <c r="J116" s="214">
        <v>1970</v>
      </c>
      <c r="K116" s="214">
        <v>60</v>
      </c>
      <c r="L116" s="218">
        <v>0</v>
      </c>
      <c r="M116" s="214">
        <v>60</v>
      </c>
      <c r="N116" s="218">
        <v>0</v>
      </c>
      <c r="O116" s="213" t="s">
        <v>514</v>
      </c>
      <c r="P116" s="218">
        <v>156916523</v>
      </c>
      <c r="Q116" s="218" t="s">
        <v>515</v>
      </c>
      <c r="R116" s="218" t="s">
        <v>516</v>
      </c>
    </row>
    <row r="117" spans="1:18" ht="24" x14ac:dyDescent="0.25">
      <c r="A117" s="212" t="s">
        <v>510</v>
      </c>
      <c r="B117" s="213">
        <v>116</v>
      </c>
      <c r="C117" s="214" t="s">
        <v>643</v>
      </c>
      <c r="D117" s="217">
        <v>469710011012</v>
      </c>
      <c r="E117" s="214">
        <v>3239.58</v>
      </c>
      <c r="F117" s="214">
        <v>2701.1</v>
      </c>
      <c r="G117" s="214">
        <v>5</v>
      </c>
      <c r="H117" s="214" t="s">
        <v>512</v>
      </c>
      <c r="I117" s="214" t="s">
        <v>513</v>
      </c>
      <c r="J117" s="214">
        <v>1971</v>
      </c>
      <c r="K117" s="214">
        <v>60</v>
      </c>
      <c r="L117" s="218">
        <v>0</v>
      </c>
      <c r="M117" s="214">
        <v>60</v>
      </c>
      <c r="N117" s="218">
        <v>0</v>
      </c>
      <c r="O117" s="213" t="s">
        <v>514</v>
      </c>
      <c r="P117" s="218">
        <v>156916523</v>
      </c>
      <c r="Q117" s="218" t="s">
        <v>515</v>
      </c>
      <c r="R117" s="218" t="s">
        <v>516</v>
      </c>
    </row>
    <row r="118" spans="1:18" ht="24" x14ac:dyDescent="0.25">
      <c r="A118" s="212" t="s">
        <v>510</v>
      </c>
      <c r="B118" s="213">
        <v>117</v>
      </c>
      <c r="C118" s="214" t="s">
        <v>644</v>
      </c>
      <c r="D118" s="217">
        <v>469750010019</v>
      </c>
      <c r="E118" s="214">
        <v>2801.04</v>
      </c>
      <c r="F118" s="214">
        <v>2335.41</v>
      </c>
      <c r="G118" s="214">
        <v>5</v>
      </c>
      <c r="H118" s="214" t="s">
        <v>512</v>
      </c>
      <c r="I118" s="214" t="s">
        <v>513</v>
      </c>
      <c r="J118" s="214">
        <v>1975</v>
      </c>
      <c r="K118" s="214">
        <v>45</v>
      </c>
      <c r="L118" s="218">
        <v>0</v>
      </c>
      <c r="M118" s="214">
        <v>45</v>
      </c>
      <c r="N118" s="218">
        <v>0</v>
      </c>
      <c r="O118" s="213" t="s">
        <v>514</v>
      </c>
      <c r="P118" s="218">
        <v>156916523</v>
      </c>
      <c r="Q118" s="218" t="s">
        <v>515</v>
      </c>
      <c r="R118" s="218" t="s">
        <v>516</v>
      </c>
    </row>
    <row r="119" spans="1:18" ht="24" x14ac:dyDescent="0.25">
      <c r="A119" s="212" t="s">
        <v>510</v>
      </c>
      <c r="B119" s="213">
        <v>118</v>
      </c>
      <c r="C119" s="214" t="s">
        <v>645</v>
      </c>
      <c r="D119" s="217">
        <v>469720009017</v>
      </c>
      <c r="E119" s="214">
        <v>3231.11</v>
      </c>
      <c r="F119" s="214">
        <v>2697.78</v>
      </c>
      <c r="G119" s="214">
        <v>5</v>
      </c>
      <c r="H119" s="214" t="s">
        <v>512</v>
      </c>
      <c r="I119" s="214" t="s">
        <v>513</v>
      </c>
      <c r="J119" s="214">
        <v>1972</v>
      </c>
      <c r="K119" s="214">
        <v>60</v>
      </c>
      <c r="L119" s="218">
        <v>0</v>
      </c>
      <c r="M119" s="214">
        <v>60</v>
      </c>
      <c r="N119" s="218">
        <v>0</v>
      </c>
      <c r="O119" s="213" t="s">
        <v>514</v>
      </c>
      <c r="P119" s="218">
        <v>156916523</v>
      </c>
      <c r="Q119" s="218" t="s">
        <v>515</v>
      </c>
      <c r="R119" s="218" t="s">
        <v>516</v>
      </c>
    </row>
    <row r="120" spans="1:18" ht="24" x14ac:dyDescent="0.25">
      <c r="A120" s="212" t="s">
        <v>510</v>
      </c>
      <c r="B120" s="213">
        <v>119</v>
      </c>
      <c r="C120" s="214" t="s">
        <v>646</v>
      </c>
      <c r="D120" s="217">
        <v>469720010016</v>
      </c>
      <c r="E120" s="214">
        <v>3233.86</v>
      </c>
      <c r="F120" s="214">
        <v>2701.1</v>
      </c>
      <c r="G120" s="214">
        <v>5</v>
      </c>
      <c r="H120" s="214" t="s">
        <v>512</v>
      </c>
      <c r="I120" s="214" t="s">
        <v>513</v>
      </c>
      <c r="J120" s="214">
        <v>1972</v>
      </c>
      <c r="K120" s="214">
        <v>60</v>
      </c>
      <c r="L120" s="218">
        <v>0</v>
      </c>
      <c r="M120" s="214">
        <v>60</v>
      </c>
      <c r="N120" s="218">
        <v>0</v>
      </c>
      <c r="O120" s="213" t="s">
        <v>514</v>
      </c>
      <c r="P120" s="218">
        <v>156916523</v>
      </c>
      <c r="Q120" s="218" t="s">
        <v>515</v>
      </c>
      <c r="R120" s="218" t="s">
        <v>516</v>
      </c>
    </row>
    <row r="121" spans="1:18" ht="24" x14ac:dyDescent="0.25">
      <c r="A121" s="212" t="s">
        <v>510</v>
      </c>
      <c r="B121" s="213">
        <v>120</v>
      </c>
      <c r="C121" s="214" t="s">
        <v>647</v>
      </c>
      <c r="D121" s="217">
        <v>469770009018</v>
      </c>
      <c r="E121" s="214">
        <v>2794.14</v>
      </c>
      <c r="F121" s="214">
        <v>2071.29</v>
      </c>
      <c r="G121" s="214">
        <v>9</v>
      </c>
      <c r="H121" s="214" t="s">
        <v>527</v>
      </c>
      <c r="I121" s="214" t="s">
        <v>542</v>
      </c>
      <c r="J121" s="214">
        <v>1977</v>
      </c>
      <c r="K121" s="214">
        <v>70</v>
      </c>
      <c r="L121" s="218">
        <v>2</v>
      </c>
      <c r="M121" s="214">
        <v>70</v>
      </c>
      <c r="N121" s="218">
        <v>2</v>
      </c>
      <c r="O121" s="213" t="s">
        <v>514</v>
      </c>
      <c r="P121" s="218">
        <v>156916523</v>
      </c>
      <c r="Q121" s="218" t="s">
        <v>515</v>
      </c>
      <c r="R121" s="218" t="s">
        <v>516</v>
      </c>
    </row>
    <row r="122" spans="1:18" ht="24" x14ac:dyDescent="0.25">
      <c r="A122" s="212" t="s">
        <v>510</v>
      </c>
      <c r="B122" s="213">
        <v>121</v>
      </c>
      <c r="C122" s="214" t="s">
        <v>648</v>
      </c>
      <c r="D122" s="217">
        <v>469740009015</v>
      </c>
      <c r="E122" s="214">
        <v>2767.72</v>
      </c>
      <c r="F122" s="214">
        <v>2294.6</v>
      </c>
      <c r="G122" s="214">
        <v>5</v>
      </c>
      <c r="H122" s="214" t="s">
        <v>512</v>
      </c>
      <c r="I122" s="214" t="s">
        <v>513</v>
      </c>
      <c r="J122" s="214">
        <v>1974</v>
      </c>
      <c r="K122" s="214">
        <v>45</v>
      </c>
      <c r="L122" s="218">
        <v>0</v>
      </c>
      <c r="M122" s="214">
        <v>45</v>
      </c>
      <c r="N122" s="218">
        <v>0</v>
      </c>
      <c r="O122" s="213" t="s">
        <v>514</v>
      </c>
      <c r="P122" s="218">
        <v>156916523</v>
      </c>
      <c r="Q122" s="218" t="s">
        <v>515</v>
      </c>
      <c r="R122" s="218" t="s">
        <v>516</v>
      </c>
    </row>
    <row r="123" spans="1:18" ht="24" x14ac:dyDescent="0.25">
      <c r="A123" s="212" t="s">
        <v>510</v>
      </c>
      <c r="B123" s="213">
        <v>122</v>
      </c>
      <c r="C123" s="214" t="s">
        <v>649</v>
      </c>
      <c r="D123" s="217">
        <v>469800010010</v>
      </c>
      <c r="E123" s="214">
        <v>2548.88</v>
      </c>
      <c r="F123" s="214">
        <v>2272.87</v>
      </c>
      <c r="G123" s="214">
        <v>9</v>
      </c>
      <c r="H123" s="214" t="s">
        <v>550</v>
      </c>
      <c r="I123" s="214" t="s">
        <v>513</v>
      </c>
      <c r="J123" s="214">
        <v>1976</v>
      </c>
      <c r="K123" s="214">
        <v>71</v>
      </c>
      <c r="L123" s="218">
        <v>1</v>
      </c>
      <c r="M123" s="214">
        <v>71</v>
      </c>
      <c r="N123" s="218">
        <v>1</v>
      </c>
      <c r="O123" s="213" t="s">
        <v>514</v>
      </c>
      <c r="P123" s="218">
        <v>156916523</v>
      </c>
      <c r="Q123" s="218" t="s">
        <v>515</v>
      </c>
      <c r="R123" s="218" t="s">
        <v>516</v>
      </c>
    </row>
    <row r="124" spans="1:18" ht="24" x14ac:dyDescent="0.25">
      <c r="A124" s="212" t="s">
        <v>510</v>
      </c>
      <c r="B124" s="213">
        <v>123</v>
      </c>
      <c r="C124" s="214" t="s">
        <v>650</v>
      </c>
      <c r="D124" s="217">
        <v>469750011016</v>
      </c>
      <c r="E124" s="214">
        <v>2809.78</v>
      </c>
      <c r="F124" s="214">
        <v>2344.7399999999998</v>
      </c>
      <c r="G124" s="214">
        <v>5</v>
      </c>
      <c r="H124" s="214" t="s">
        <v>512</v>
      </c>
      <c r="I124" s="214" t="s">
        <v>513</v>
      </c>
      <c r="J124" s="214">
        <v>1974</v>
      </c>
      <c r="K124" s="214">
        <v>45</v>
      </c>
      <c r="L124" s="218">
        <v>0</v>
      </c>
      <c r="M124" s="214">
        <v>45</v>
      </c>
      <c r="N124" s="218">
        <v>0</v>
      </c>
      <c r="O124" s="213" t="s">
        <v>514</v>
      </c>
      <c r="P124" s="218">
        <v>156916523</v>
      </c>
      <c r="Q124" s="218" t="s">
        <v>515</v>
      </c>
      <c r="R124" s="218" t="s">
        <v>516</v>
      </c>
    </row>
    <row r="125" spans="1:18" ht="24" x14ac:dyDescent="0.25">
      <c r="A125" s="212" t="s">
        <v>510</v>
      </c>
      <c r="B125" s="213">
        <v>124</v>
      </c>
      <c r="C125" s="214" t="s">
        <v>651</v>
      </c>
      <c r="D125" s="217">
        <v>469700026010</v>
      </c>
      <c r="E125" s="214">
        <v>3232.81</v>
      </c>
      <c r="F125" s="214">
        <v>2671.01</v>
      </c>
      <c r="G125" s="214">
        <v>5</v>
      </c>
      <c r="H125" s="214" t="s">
        <v>512</v>
      </c>
      <c r="I125" s="214" t="s">
        <v>513</v>
      </c>
      <c r="J125" s="214">
        <v>1970</v>
      </c>
      <c r="K125" s="214">
        <v>59</v>
      </c>
      <c r="L125" s="218">
        <v>1</v>
      </c>
      <c r="M125" s="214">
        <v>59</v>
      </c>
      <c r="N125" s="218">
        <v>1</v>
      </c>
      <c r="O125" s="213" t="s">
        <v>514</v>
      </c>
      <c r="P125" s="218">
        <v>156916523</v>
      </c>
      <c r="Q125" s="218" t="s">
        <v>515</v>
      </c>
      <c r="R125" s="218" t="s">
        <v>516</v>
      </c>
    </row>
    <row r="126" spans="1:18" ht="24" x14ac:dyDescent="0.25">
      <c r="A126" s="212" t="s">
        <v>510</v>
      </c>
      <c r="B126" s="213">
        <v>125</v>
      </c>
      <c r="C126" s="214" t="s">
        <v>652</v>
      </c>
      <c r="D126" s="217">
        <v>469690015018</v>
      </c>
      <c r="E126" s="214">
        <v>3411.95</v>
      </c>
      <c r="F126" s="214">
        <v>2711.41</v>
      </c>
      <c r="G126" s="214">
        <v>5</v>
      </c>
      <c r="H126" s="214" t="s">
        <v>518</v>
      </c>
      <c r="I126" s="214" t="s">
        <v>542</v>
      </c>
      <c r="J126" s="214">
        <v>1969</v>
      </c>
      <c r="K126" s="214">
        <v>60</v>
      </c>
      <c r="L126" s="218">
        <v>0</v>
      </c>
      <c r="M126" s="214">
        <v>60</v>
      </c>
      <c r="N126" s="218">
        <v>0</v>
      </c>
      <c r="O126" s="213" t="s">
        <v>514</v>
      </c>
      <c r="P126" s="218">
        <v>156916523</v>
      </c>
      <c r="Q126" s="218" t="s">
        <v>515</v>
      </c>
      <c r="R126" s="218" t="s">
        <v>516</v>
      </c>
    </row>
    <row r="127" spans="1:18" ht="24" x14ac:dyDescent="0.25">
      <c r="A127" s="212" t="s">
        <v>510</v>
      </c>
      <c r="B127" s="213">
        <v>126</v>
      </c>
      <c r="C127" s="214" t="s">
        <v>653</v>
      </c>
      <c r="D127" s="217">
        <v>469700027017</v>
      </c>
      <c r="E127" s="214">
        <v>3222.99</v>
      </c>
      <c r="F127" s="214">
        <v>2701.01</v>
      </c>
      <c r="G127" s="214">
        <v>5</v>
      </c>
      <c r="H127" s="214" t="s">
        <v>512</v>
      </c>
      <c r="I127" s="214" t="s">
        <v>513</v>
      </c>
      <c r="J127" s="214">
        <v>1970</v>
      </c>
      <c r="K127" s="214">
        <v>60</v>
      </c>
      <c r="L127" s="218">
        <v>0</v>
      </c>
      <c r="M127" s="214">
        <v>60</v>
      </c>
      <c r="N127" s="218">
        <v>0</v>
      </c>
      <c r="O127" s="213" t="s">
        <v>514</v>
      </c>
      <c r="P127" s="218">
        <v>156916523</v>
      </c>
      <c r="Q127" s="218" t="s">
        <v>515</v>
      </c>
      <c r="R127" s="218" t="s">
        <v>516</v>
      </c>
    </row>
    <row r="128" spans="1:18" ht="24" x14ac:dyDescent="0.25">
      <c r="A128" s="212" t="s">
        <v>510</v>
      </c>
      <c r="B128" s="213">
        <v>127</v>
      </c>
      <c r="C128" s="214" t="s">
        <v>654</v>
      </c>
      <c r="D128" s="217">
        <v>469700028014</v>
      </c>
      <c r="E128" s="214">
        <v>3233.11</v>
      </c>
      <c r="F128" s="214">
        <v>2701.05</v>
      </c>
      <c r="G128" s="214">
        <v>5</v>
      </c>
      <c r="H128" s="214" t="s">
        <v>512</v>
      </c>
      <c r="I128" s="214" t="s">
        <v>513</v>
      </c>
      <c r="J128" s="214">
        <v>1971</v>
      </c>
      <c r="K128" s="214">
        <v>60</v>
      </c>
      <c r="L128" s="218">
        <v>0</v>
      </c>
      <c r="M128" s="214">
        <v>60</v>
      </c>
      <c r="N128" s="218">
        <v>0</v>
      </c>
      <c r="O128" s="213" t="s">
        <v>514</v>
      </c>
      <c r="P128" s="218">
        <v>156916523</v>
      </c>
      <c r="Q128" s="218" t="s">
        <v>515</v>
      </c>
      <c r="R128" s="218" t="s">
        <v>516</v>
      </c>
    </row>
    <row r="129" spans="1:18" ht="24" x14ac:dyDescent="0.25">
      <c r="A129" s="212" t="s">
        <v>510</v>
      </c>
      <c r="B129" s="213">
        <v>128</v>
      </c>
      <c r="C129" s="214" t="s">
        <v>655</v>
      </c>
      <c r="D129" s="217">
        <v>469710008015</v>
      </c>
      <c r="E129" s="214">
        <v>3231.55</v>
      </c>
      <c r="F129" s="214">
        <v>2697.13</v>
      </c>
      <c r="G129" s="214">
        <v>5</v>
      </c>
      <c r="H129" s="214" t="s">
        <v>512</v>
      </c>
      <c r="I129" s="214" t="s">
        <v>513</v>
      </c>
      <c r="J129" s="214">
        <v>1971</v>
      </c>
      <c r="K129" s="214">
        <v>60</v>
      </c>
      <c r="L129" s="218">
        <v>0</v>
      </c>
      <c r="M129" s="214">
        <v>60</v>
      </c>
      <c r="N129" s="218">
        <v>0</v>
      </c>
      <c r="O129" s="213" t="s">
        <v>514</v>
      </c>
      <c r="P129" s="218">
        <v>156916523</v>
      </c>
      <c r="Q129" s="218" t="s">
        <v>515</v>
      </c>
      <c r="R129" s="218" t="s">
        <v>516</v>
      </c>
    </row>
    <row r="130" spans="1:18" ht="24" x14ac:dyDescent="0.25">
      <c r="A130" s="212" t="s">
        <v>510</v>
      </c>
      <c r="B130" s="213">
        <v>129</v>
      </c>
      <c r="C130" s="214" t="s">
        <v>656</v>
      </c>
      <c r="D130" s="217">
        <v>469730007016</v>
      </c>
      <c r="E130" s="214">
        <v>2818.52</v>
      </c>
      <c r="F130" s="214">
        <v>2341.7800000000002</v>
      </c>
      <c r="G130" s="214">
        <v>5</v>
      </c>
      <c r="H130" s="214" t="s">
        <v>512</v>
      </c>
      <c r="I130" s="214" t="s">
        <v>513</v>
      </c>
      <c r="J130" s="214">
        <v>1973</v>
      </c>
      <c r="K130" s="214">
        <v>45</v>
      </c>
      <c r="L130" s="218">
        <v>0</v>
      </c>
      <c r="M130" s="214">
        <v>45</v>
      </c>
      <c r="N130" s="218">
        <v>0</v>
      </c>
      <c r="O130" s="213" t="s">
        <v>514</v>
      </c>
      <c r="P130" s="218">
        <v>156916523</v>
      </c>
      <c r="Q130" s="218" t="s">
        <v>515</v>
      </c>
      <c r="R130" s="218" t="s">
        <v>516</v>
      </c>
    </row>
    <row r="131" spans="1:18" ht="24" x14ac:dyDescent="0.25">
      <c r="A131" s="212" t="s">
        <v>510</v>
      </c>
      <c r="B131" s="213">
        <v>130</v>
      </c>
      <c r="C131" s="214" t="s">
        <v>657</v>
      </c>
      <c r="D131" s="217">
        <v>469750012013</v>
      </c>
      <c r="E131" s="214">
        <v>2814.43</v>
      </c>
      <c r="F131" s="214">
        <v>2343.09</v>
      </c>
      <c r="G131" s="214">
        <v>5</v>
      </c>
      <c r="H131" s="214" t="s">
        <v>512</v>
      </c>
      <c r="I131" s="214" t="s">
        <v>513</v>
      </c>
      <c r="J131" s="214">
        <v>1975</v>
      </c>
      <c r="K131" s="214">
        <v>45</v>
      </c>
      <c r="L131" s="218">
        <v>0</v>
      </c>
      <c r="M131" s="214">
        <v>45</v>
      </c>
      <c r="N131" s="218">
        <v>0</v>
      </c>
      <c r="O131" s="213" t="s">
        <v>514</v>
      </c>
      <c r="P131" s="218">
        <v>156916523</v>
      </c>
      <c r="Q131" s="218" t="s">
        <v>515</v>
      </c>
      <c r="R131" s="218" t="s">
        <v>516</v>
      </c>
    </row>
    <row r="132" spans="1:18" ht="24" x14ac:dyDescent="0.25">
      <c r="A132" s="212" t="s">
        <v>510</v>
      </c>
      <c r="B132" s="213">
        <v>131</v>
      </c>
      <c r="C132" s="214" t="s">
        <v>658</v>
      </c>
      <c r="D132" s="219">
        <v>469770010017</v>
      </c>
      <c r="E132" s="220">
        <v>2788.74</v>
      </c>
      <c r="F132" s="220">
        <v>2121.1799999999998</v>
      </c>
      <c r="G132" s="220">
        <v>9</v>
      </c>
      <c r="H132" s="220" t="s">
        <v>527</v>
      </c>
      <c r="I132" s="220" t="s">
        <v>542</v>
      </c>
      <c r="J132" s="220">
        <v>1977</v>
      </c>
      <c r="K132" s="220">
        <v>72</v>
      </c>
      <c r="L132" s="221">
        <v>385</v>
      </c>
      <c r="M132" s="220">
        <v>72</v>
      </c>
      <c r="N132" s="221">
        <v>0</v>
      </c>
      <c r="O132" s="213" t="s">
        <v>514</v>
      </c>
      <c r="P132" s="221">
        <v>156916523</v>
      </c>
      <c r="Q132" s="221" t="s">
        <v>515</v>
      </c>
      <c r="R132" s="221" t="s">
        <v>516</v>
      </c>
    </row>
    <row r="133" spans="1:18" ht="24" x14ac:dyDescent="0.25">
      <c r="A133" s="212" t="s">
        <v>510</v>
      </c>
      <c r="B133" s="213">
        <v>132</v>
      </c>
      <c r="C133" s="214" t="s">
        <v>659</v>
      </c>
      <c r="D133" s="217">
        <v>469720013019</v>
      </c>
      <c r="E133" s="214">
        <v>5261.03</v>
      </c>
      <c r="F133" s="214">
        <v>4371.96</v>
      </c>
      <c r="G133" s="214">
        <v>5</v>
      </c>
      <c r="H133" s="214" t="s">
        <v>512</v>
      </c>
      <c r="I133" s="214" t="s">
        <v>513</v>
      </c>
      <c r="J133" s="214">
        <v>1972</v>
      </c>
      <c r="K133" s="214">
        <v>100</v>
      </c>
      <c r="L133" s="218">
        <v>0</v>
      </c>
      <c r="M133" s="214">
        <v>100</v>
      </c>
      <c r="N133" s="218">
        <v>0</v>
      </c>
      <c r="O133" s="213" t="s">
        <v>514</v>
      </c>
      <c r="P133" s="218">
        <v>156916523</v>
      </c>
      <c r="Q133" s="218" t="s">
        <v>515</v>
      </c>
      <c r="R133" s="218" t="s">
        <v>516</v>
      </c>
    </row>
    <row r="134" spans="1:18" ht="24" x14ac:dyDescent="0.25">
      <c r="A134" s="212" t="s">
        <v>510</v>
      </c>
      <c r="B134" s="213">
        <v>133</v>
      </c>
      <c r="C134" s="214" t="s">
        <v>660</v>
      </c>
      <c r="D134" s="217">
        <v>469700029011</v>
      </c>
      <c r="E134" s="214">
        <v>5251.94</v>
      </c>
      <c r="F134" s="214">
        <v>4394.25</v>
      </c>
      <c r="G134" s="214">
        <v>5</v>
      </c>
      <c r="H134" s="214" t="s">
        <v>512</v>
      </c>
      <c r="I134" s="214" t="s">
        <v>513</v>
      </c>
      <c r="J134" s="214">
        <v>1970</v>
      </c>
      <c r="K134" s="214">
        <v>100</v>
      </c>
      <c r="L134" s="218">
        <v>0</v>
      </c>
      <c r="M134" s="214">
        <v>100</v>
      </c>
      <c r="N134" s="218">
        <v>0</v>
      </c>
      <c r="O134" s="213" t="s">
        <v>514</v>
      </c>
      <c r="P134" s="218">
        <v>156916523</v>
      </c>
      <c r="Q134" s="218" t="s">
        <v>515</v>
      </c>
      <c r="R134" s="218" t="s">
        <v>516</v>
      </c>
    </row>
    <row r="135" spans="1:18" ht="24" x14ac:dyDescent="0.25">
      <c r="A135" s="212" t="s">
        <v>510</v>
      </c>
      <c r="B135" s="213">
        <v>134</v>
      </c>
      <c r="C135" s="214" t="s">
        <v>661</v>
      </c>
      <c r="D135" s="215">
        <v>469710014011</v>
      </c>
      <c r="E135" s="216">
        <v>3102.1</v>
      </c>
      <c r="F135" s="216">
        <v>2577.5100000000002</v>
      </c>
      <c r="G135" s="216">
        <v>5</v>
      </c>
      <c r="H135" s="216" t="s">
        <v>527</v>
      </c>
      <c r="I135" s="216" t="s">
        <v>519</v>
      </c>
      <c r="J135" s="216">
        <v>1971</v>
      </c>
      <c r="K135" s="216">
        <v>50</v>
      </c>
      <c r="L135" s="213">
        <v>0</v>
      </c>
      <c r="M135" s="216">
        <v>50</v>
      </c>
      <c r="N135" s="213">
        <v>0</v>
      </c>
      <c r="O135" s="213" t="s">
        <v>514</v>
      </c>
      <c r="P135" s="213">
        <v>156916523</v>
      </c>
      <c r="Q135" s="213" t="s">
        <v>515</v>
      </c>
      <c r="R135" s="213" t="s">
        <v>516</v>
      </c>
    </row>
    <row r="136" spans="1:18" ht="24" x14ac:dyDescent="0.25">
      <c r="A136" s="212" t="s">
        <v>510</v>
      </c>
      <c r="B136" s="213">
        <v>135</v>
      </c>
      <c r="C136" s="214" t="s">
        <v>662</v>
      </c>
      <c r="D136" s="215">
        <v>469720015013</v>
      </c>
      <c r="E136" s="216">
        <v>1436.33</v>
      </c>
      <c r="F136" s="216">
        <v>1286.01</v>
      </c>
      <c r="G136" s="216">
        <v>5</v>
      </c>
      <c r="H136" s="216" t="s">
        <v>527</v>
      </c>
      <c r="I136" s="216" t="s">
        <v>513</v>
      </c>
      <c r="J136" s="216">
        <v>1972</v>
      </c>
      <c r="K136" s="216">
        <v>25</v>
      </c>
      <c r="L136" s="213">
        <v>0</v>
      </c>
      <c r="M136" s="216">
        <v>25</v>
      </c>
      <c r="N136" s="213">
        <v>0</v>
      </c>
      <c r="O136" s="213" t="s">
        <v>514</v>
      </c>
      <c r="P136" s="213">
        <v>156916523</v>
      </c>
      <c r="Q136" s="213" t="s">
        <v>515</v>
      </c>
      <c r="R136" s="213" t="s">
        <v>516</v>
      </c>
    </row>
    <row r="137" spans="1:18" ht="24" x14ac:dyDescent="0.25">
      <c r="A137" s="212" t="s">
        <v>510</v>
      </c>
      <c r="B137" s="213">
        <v>136</v>
      </c>
      <c r="C137" s="214" t="s">
        <v>663</v>
      </c>
      <c r="D137" s="215">
        <v>469730012015</v>
      </c>
      <c r="E137" s="216">
        <v>5214.46</v>
      </c>
      <c r="F137" s="216">
        <v>4323.3900000000003</v>
      </c>
      <c r="G137" s="216">
        <v>5</v>
      </c>
      <c r="H137" s="216" t="s">
        <v>512</v>
      </c>
      <c r="I137" s="216" t="s">
        <v>513</v>
      </c>
      <c r="J137" s="216">
        <v>1973</v>
      </c>
      <c r="K137" s="216">
        <v>99</v>
      </c>
      <c r="L137" s="213">
        <v>1</v>
      </c>
      <c r="M137" s="216">
        <v>99</v>
      </c>
      <c r="N137" s="213">
        <v>1</v>
      </c>
      <c r="O137" s="213" t="s">
        <v>514</v>
      </c>
      <c r="P137" s="213">
        <v>156916523</v>
      </c>
      <c r="Q137" s="213" t="s">
        <v>515</v>
      </c>
      <c r="R137" s="213" t="s">
        <v>516</v>
      </c>
    </row>
    <row r="138" spans="1:18" ht="24" x14ac:dyDescent="0.25">
      <c r="A138" s="212" t="s">
        <v>510</v>
      </c>
      <c r="B138" s="213">
        <v>137</v>
      </c>
      <c r="C138" s="214" t="s">
        <v>664</v>
      </c>
      <c r="D138" s="215">
        <v>469720016010</v>
      </c>
      <c r="E138" s="216">
        <v>5257.48</v>
      </c>
      <c r="F138" s="216">
        <v>4372.5</v>
      </c>
      <c r="G138" s="216">
        <v>5</v>
      </c>
      <c r="H138" s="216" t="s">
        <v>512</v>
      </c>
      <c r="I138" s="216" t="s">
        <v>513</v>
      </c>
      <c r="J138" s="216">
        <v>1972</v>
      </c>
      <c r="K138" s="216">
        <v>100</v>
      </c>
      <c r="L138" s="213">
        <v>0</v>
      </c>
      <c r="M138" s="216">
        <v>100</v>
      </c>
      <c r="N138" s="213">
        <v>0</v>
      </c>
      <c r="O138" s="213" t="s">
        <v>514</v>
      </c>
      <c r="P138" s="213">
        <v>156916523</v>
      </c>
      <c r="Q138" s="213" t="s">
        <v>515</v>
      </c>
      <c r="R138" s="213" t="s">
        <v>516</v>
      </c>
    </row>
    <row r="139" spans="1:18" ht="24" x14ac:dyDescent="0.25">
      <c r="A139" s="212" t="s">
        <v>510</v>
      </c>
      <c r="B139" s="213">
        <v>138</v>
      </c>
      <c r="C139" s="214" t="s">
        <v>665</v>
      </c>
      <c r="D139" s="215">
        <v>469710015016</v>
      </c>
      <c r="E139" s="216">
        <v>4301.58</v>
      </c>
      <c r="F139" s="216">
        <v>3876.66</v>
      </c>
      <c r="G139" s="216">
        <v>5</v>
      </c>
      <c r="H139" s="216" t="s">
        <v>527</v>
      </c>
      <c r="I139" s="216" t="s">
        <v>519</v>
      </c>
      <c r="J139" s="216">
        <v>1971</v>
      </c>
      <c r="K139" s="216">
        <v>80</v>
      </c>
      <c r="L139" s="213">
        <v>0</v>
      </c>
      <c r="M139" s="216">
        <v>80</v>
      </c>
      <c r="N139" s="213">
        <v>0</v>
      </c>
      <c r="O139" s="213" t="s">
        <v>514</v>
      </c>
      <c r="P139" s="213">
        <v>156916523</v>
      </c>
      <c r="Q139" s="213" t="s">
        <v>515</v>
      </c>
      <c r="R139" s="213" t="s">
        <v>516</v>
      </c>
    </row>
    <row r="140" spans="1:18" ht="24" x14ac:dyDescent="0.25">
      <c r="A140" s="212" t="s">
        <v>510</v>
      </c>
      <c r="B140" s="213">
        <v>139</v>
      </c>
      <c r="C140" s="214" t="s">
        <v>666</v>
      </c>
      <c r="D140" s="215">
        <v>469710016017</v>
      </c>
      <c r="E140" s="216">
        <v>4460.28</v>
      </c>
      <c r="F140" s="216">
        <v>3882.74</v>
      </c>
      <c r="G140" s="216">
        <v>5</v>
      </c>
      <c r="H140" s="216" t="s">
        <v>527</v>
      </c>
      <c r="I140" s="216" t="s">
        <v>519</v>
      </c>
      <c r="J140" s="216">
        <v>1971</v>
      </c>
      <c r="K140" s="216">
        <v>80</v>
      </c>
      <c r="L140" s="213">
        <v>0</v>
      </c>
      <c r="M140" s="216">
        <v>80</v>
      </c>
      <c r="N140" s="213">
        <v>0</v>
      </c>
      <c r="O140" s="213" t="s">
        <v>514</v>
      </c>
      <c r="P140" s="213">
        <v>156916523</v>
      </c>
      <c r="Q140" s="213" t="s">
        <v>515</v>
      </c>
      <c r="R140" s="213" t="s">
        <v>516</v>
      </c>
    </row>
    <row r="141" spans="1:18" ht="24" x14ac:dyDescent="0.25">
      <c r="A141" s="212" t="s">
        <v>510</v>
      </c>
      <c r="B141" s="213">
        <v>140</v>
      </c>
      <c r="C141" s="214" t="s">
        <v>667</v>
      </c>
      <c r="D141" s="215">
        <v>469760011012</v>
      </c>
      <c r="E141" s="216">
        <v>3136</v>
      </c>
      <c r="F141" s="216">
        <v>2605.81</v>
      </c>
      <c r="G141" s="216">
        <v>5</v>
      </c>
      <c r="H141" s="216" t="s">
        <v>550</v>
      </c>
      <c r="I141" s="216" t="s">
        <v>513</v>
      </c>
      <c r="J141" s="216">
        <v>1976</v>
      </c>
      <c r="K141" s="216">
        <v>48</v>
      </c>
      <c r="L141" s="213">
        <v>0</v>
      </c>
      <c r="M141" s="216">
        <v>48</v>
      </c>
      <c r="N141" s="213">
        <v>0</v>
      </c>
      <c r="O141" s="213" t="s">
        <v>514</v>
      </c>
      <c r="P141" s="213">
        <v>156916523</v>
      </c>
      <c r="Q141" s="213" t="s">
        <v>515</v>
      </c>
      <c r="R141" s="213" t="s">
        <v>516</v>
      </c>
    </row>
    <row r="142" spans="1:18" ht="24" x14ac:dyDescent="0.25">
      <c r="A142" s="212" t="s">
        <v>510</v>
      </c>
      <c r="B142" s="213">
        <v>141</v>
      </c>
      <c r="C142" s="214" t="s">
        <v>668</v>
      </c>
      <c r="D142" s="215">
        <v>469760012018</v>
      </c>
      <c r="E142" s="216">
        <v>2808.43</v>
      </c>
      <c r="F142" s="216">
        <v>2342.2800000000002</v>
      </c>
      <c r="G142" s="216">
        <v>5</v>
      </c>
      <c r="H142" s="216" t="s">
        <v>512</v>
      </c>
      <c r="I142" s="216" t="s">
        <v>513</v>
      </c>
      <c r="J142" s="216">
        <v>1976</v>
      </c>
      <c r="K142" s="216">
        <v>45</v>
      </c>
      <c r="L142" s="213">
        <v>0</v>
      </c>
      <c r="M142" s="216">
        <v>45</v>
      </c>
      <c r="N142" s="213">
        <v>0</v>
      </c>
      <c r="O142" s="213" t="s">
        <v>514</v>
      </c>
      <c r="P142" s="213">
        <v>156916523</v>
      </c>
      <c r="Q142" s="213" t="s">
        <v>515</v>
      </c>
      <c r="R142" s="213" t="s">
        <v>516</v>
      </c>
    </row>
    <row r="143" spans="1:18" ht="24" x14ac:dyDescent="0.25">
      <c r="A143" s="212" t="s">
        <v>510</v>
      </c>
      <c r="B143" s="213">
        <v>142</v>
      </c>
      <c r="C143" s="214" t="s">
        <v>669</v>
      </c>
      <c r="D143" s="215">
        <v>469780011019</v>
      </c>
      <c r="E143" s="216">
        <v>1572.69</v>
      </c>
      <c r="F143" s="216">
        <v>1315.16</v>
      </c>
      <c r="G143" s="216">
        <v>5</v>
      </c>
      <c r="H143" s="216" t="s">
        <v>550</v>
      </c>
      <c r="I143" s="216" t="s">
        <v>513</v>
      </c>
      <c r="J143" s="216">
        <v>1978</v>
      </c>
      <c r="K143" s="216">
        <v>20</v>
      </c>
      <c r="L143" s="213">
        <v>0</v>
      </c>
      <c r="M143" s="216">
        <v>20</v>
      </c>
      <c r="N143" s="213">
        <v>0</v>
      </c>
      <c r="O143" s="213" t="s">
        <v>514</v>
      </c>
      <c r="P143" s="213">
        <v>156916523</v>
      </c>
      <c r="Q143" s="213" t="s">
        <v>515</v>
      </c>
      <c r="R143" s="213" t="s">
        <v>516</v>
      </c>
    </row>
    <row r="144" spans="1:18" ht="24" x14ac:dyDescent="0.25">
      <c r="A144" s="212" t="s">
        <v>510</v>
      </c>
      <c r="B144" s="213">
        <v>143</v>
      </c>
      <c r="C144" s="214" t="s">
        <v>670</v>
      </c>
      <c r="D144" s="215">
        <v>469750015016</v>
      </c>
      <c r="E144" s="216">
        <v>2782.6</v>
      </c>
      <c r="F144" s="216">
        <v>2322.44</v>
      </c>
      <c r="G144" s="216">
        <v>5</v>
      </c>
      <c r="H144" s="216" t="s">
        <v>512</v>
      </c>
      <c r="I144" s="216" t="s">
        <v>513</v>
      </c>
      <c r="J144" s="216">
        <v>1975</v>
      </c>
      <c r="K144" s="216">
        <v>45</v>
      </c>
      <c r="L144" s="213">
        <v>0</v>
      </c>
      <c r="M144" s="216">
        <v>45</v>
      </c>
      <c r="N144" s="213">
        <v>0</v>
      </c>
      <c r="O144" s="213" t="s">
        <v>514</v>
      </c>
      <c r="P144" s="213">
        <v>156916523</v>
      </c>
      <c r="Q144" s="213" t="s">
        <v>515</v>
      </c>
      <c r="R144" s="213" t="s">
        <v>516</v>
      </c>
    </row>
    <row r="145" spans="1:18" ht="24" x14ac:dyDescent="0.25">
      <c r="A145" s="212" t="s">
        <v>510</v>
      </c>
      <c r="B145" s="213">
        <v>144</v>
      </c>
      <c r="C145" s="214" t="s">
        <v>671</v>
      </c>
      <c r="D145" s="215">
        <v>469770012011</v>
      </c>
      <c r="E145" s="216">
        <v>1582.41</v>
      </c>
      <c r="F145" s="216">
        <v>1257.71</v>
      </c>
      <c r="G145" s="216">
        <v>5</v>
      </c>
      <c r="H145" s="216" t="s">
        <v>527</v>
      </c>
      <c r="I145" s="216" t="s">
        <v>513</v>
      </c>
      <c r="J145" s="216">
        <v>1977</v>
      </c>
      <c r="K145" s="216">
        <v>24</v>
      </c>
      <c r="L145" s="213">
        <v>0</v>
      </c>
      <c r="M145" s="216">
        <v>24</v>
      </c>
      <c r="N145" s="213">
        <v>0</v>
      </c>
      <c r="O145" s="213" t="s">
        <v>514</v>
      </c>
      <c r="P145" s="213">
        <v>156916523</v>
      </c>
      <c r="Q145" s="213" t="s">
        <v>515</v>
      </c>
      <c r="R145" s="213" t="s">
        <v>516</v>
      </c>
    </row>
    <row r="146" spans="1:18" ht="24" x14ac:dyDescent="0.25">
      <c r="A146" s="212" t="s">
        <v>510</v>
      </c>
      <c r="B146" s="213">
        <v>145</v>
      </c>
      <c r="C146" s="214" t="s">
        <v>672</v>
      </c>
      <c r="D146" s="215">
        <v>469760013015</v>
      </c>
      <c r="E146" s="216">
        <v>2784.83</v>
      </c>
      <c r="F146" s="216">
        <v>2322.54</v>
      </c>
      <c r="G146" s="216">
        <v>5</v>
      </c>
      <c r="H146" s="216" t="s">
        <v>518</v>
      </c>
      <c r="I146" s="216" t="s">
        <v>513</v>
      </c>
      <c r="J146" s="216">
        <v>1976</v>
      </c>
      <c r="K146" s="216">
        <v>45</v>
      </c>
      <c r="L146" s="213">
        <v>0</v>
      </c>
      <c r="M146" s="216">
        <v>45</v>
      </c>
      <c r="N146" s="213">
        <v>0</v>
      </c>
      <c r="O146" s="213" t="s">
        <v>514</v>
      </c>
      <c r="P146" s="213">
        <v>156916523</v>
      </c>
      <c r="Q146" s="213" t="s">
        <v>515</v>
      </c>
      <c r="R146" s="213" t="s">
        <v>516</v>
      </c>
    </row>
    <row r="147" spans="1:18" ht="24" x14ac:dyDescent="0.25">
      <c r="A147" s="212" t="s">
        <v>510</v>
      </c>
      <c r="B147" s="213">
        <v>146</v>
      </c>
      <c r="C147" s="214" t="s">
        <v>673</v>
      </c>
      <c r="D147" s="215">
        <v>469760015016</v>
      </c>
      <c r="E147" s="216">
        <v>2788.21</v>
      </c>
      <c r="F147" s="216">
        <v>2328.4499999999998</v>
      </c>
      <c r="G147" s="216">
        <v>5</v>
      </c>
      <c r="H147" s="216" t="s">
        <v>523</v>
      </c>
      <c r="I147" s="216" t="s">
        <v>542</v>
      </c>
      <c r="J147" s="216">
        <v>1976</v>
      </c>
      <c r="K147" s="216">
        <v>45</v>
      </c>
      <c r="L147" s="213">
        <v>0</v>
      </c>
      <c r="M147" s="216">
        <v>44</v>
      </c>
      <c r="N147" s="213">
        <v>0</v>
      </c>
      <c r="O147" s="213" t="s">
        <v>514</v>
      </c>
      <c r="P147" s="213">
        <v>156916523</v>
      </c>
      <c r="Q147" s="213" t="s">
        <v>515</v>
      </c>
      <c r="R147" s="213" t="s">
        <v>516</v>
      </c>
    </row>
    <row r="148" spans="1:18" ht="24" x14ac:dyDescent="0.25">
      <c r="A148" s="212" t="s">
        <v>510</v>
      </c>
      <c r="B148" s="213">
        <v>147</v>
      </c>
      <c r="C148" s="214" t="s">
        <v>674</v>
      </c>
      <c r="D148" s="215">
        <v>469760016018</v>
      </c>
      <c r="E148" s="216">
        <v>4817.8999999999996</v>
      </c>
      <c r="F148" s="216">
        <v>4025.06</v>
      </c>
      <c r="G148" s="216">
        <v>5</v>
      </c>
      <c r="H148" s="216" t="s">
        <v>512</v>
      </c>
      <c r="I148" s="216" t="s">
        <v>513</v>
      </c>
      <c r="J148" s="216">
        <v>1976</v>
      </c>
      <c r="K148" s="216">
        <v>75</v>
      </c>
      <c r="L148" s="213">
        <v>0</v>
      </c>
      <c r="M148" s="216">
        <v>75</v>
      </c>
      <c r="N148" s="213">
        <v>0</v>
      </c>
      <c r="O148" s="213" t="s">
        <v>514</v>
      </c>
      <c r="P148" s="213">
        <v>156916523</v>
      </c>
      <c r="Q148" s="213" t="s">
        <v>515</v>
      </c>
      <c r="R148" s="213" t="s">
        <v>516</v>
      </c>
    </row>
    <row r="149" spans="1:18" ht="24" x14ac:dyDescent="0.25">
      <c r="A149" s="212" t="s">
        <v>510</v>
      </c>
      <c r="B149" s="213">
        <v>148</v>
      </c>
      <c r="C149" s="214" t="s">
        <v>675</v>
      </c>
      <c r="D149" s="215">
        <v>469730011018</v>
      </c>
      <c r="E149" s="216">
        <v>2556.94</v>
      </c>
      <c r="F149" s="216">
        <v>1783.56</v>
      </c>
      <c r="G149" s="216">
        <v>5</v>
      </c>
      <c r="H149" s="216" t="s">
        <v>527</v>
      </c>
      <c r="I149" s="216" t="s">
        <v>524</v>
      </c>
      <c r="J149" s="216">
        <v>1973</v>
      </c>
      <c r="K149" s="216">
        <v>48</v>
      </c>
      <c r="L149" s="213">
        <v>2</v>
      </c>
      <c r="M149" s="216">
        <v>48</v>
      </c>
      <c r="N149" s="213">
        <v>2</v>
      </c>
      <c r="O149" s="213" t="s">
        <v>514</v>
      </c>
      <c r="P149" s="213">
        <v>156916523</v>
      </c>
      <c r="Q149" s="213" t="s">
        <v>515</v>
      </c>
      <c r="R149" s="213" t="s">
        <v>516</v>
      </c>
    </row>
    <row r="150" spans="1:18" ht="24" x14ac:dyDescent="0.25">
      <c r="A150" s="212" t="s">
        <v>510</v>
      </c>
      <c r="B150" s="213">
        <v>149</v>
      </c>
      <c r="C150" s="214" t="s">
        <v>676</v>
      </c>
      <c r="D150" s="215">
        <v>469740010014</v>
      </c>
      <c r="E150" s="216">
        <v>2785.36</v>
      </c>
      <c r="F150" s="216">
        <v>2317.6999999999998</v>
      </c>
      <c r="G150" s="216">
        <v>5</v>
      </c>
      <c r="H150" s="216" t="s">
        <v>512</v>
      </c>
      <c r="I150" s="216" t="s">
        <v>513</v>
      </c>
      <c r="J150" s="216">
        <v>1974</v>
      </c>
      <c r="K150" s="216">
        <v>45</v>
      </c>
      <c r="L150" s="213">
        <v>0</v>
      </c>
      <c r="M150" s="216">
        <v>45</v>
      </c>
      <c r="N150" s="213">
        <v>0</v>
      </c>
      <c r="O150" s="213" t="s">
        <v>514</v>
      </c>
      <c r="P150" s="213">
        <v>156916523</v>
      </c>
      <c r="Q150" s="213" t="s">
        <v>515</v>
      </c>
      <c r="R150" s="213" t="s">
        <v>516</v>
      </c>
    </row>
    <row r="151" spans="1:18" ht="24" x14ac:dyDescent="0.25">
      <c r="A151" s="212" t="s">
        <v>510</v>
      </c>
      <c r="B151" s="213">
        <v>150</v>
      </c>
      <c r="C151" s="214" t="s">
        <v>677</v>
      </c>
      <c r="D151" s="215">
        <v>469740011011</v>
      </c>
      <c r="E151" s="216">
        <v>2799.91</v>
      </c>
      <c r="F151" s="216">
        <v>2326.1</v>
      </c>
      <c r="G151" s="216">
        <v>5</v>
      </c>
      <c r="H151" s="216" t="s">
        <v>512</v>
      </c>
      <c r="I151" s="216" t="s">
        <v>513</v>
      </c>
      <c r="J151" s="216">
        <v>1974</v>
      </c>
      <c r="K151" s="216">
        <v>45</v>
      </c>
      <c r="L151" s="213">
        <v>0</v>
      </c>
      <c r="M151" s="216">
        <v>45</v>
      </c>
      <c r="N151" s="213">
        <v>0</v>
      </c>
      <c r="O151" s="213" t="s">
        <v>514</v>
      </c>
      <c r="P151" s="213">
        <v>156916523</v>
      </c>
      <c r="Q151" s="213" t="s">
        <v>515</v>
      </c>
      <c r="R151" s="213" t="s">
        <v>516</v>
      </c>
    </row>
    <row r="152" spans="1:18" ht="24" x14ac:dyDescent="0.25">
      <c r="A152" s="212" t="s">
        <v>510</v>
      </c>
      <c r="B152" s="213">
        <v>151</v>
      </c>
      <c r="C152" s="214" t="s">
        <v>678</v>
      </c>
      <c r="D152" s="215">
        <v>469770002015</v>
      </c>
      <c r="E152" s="216">
        <v>915.06</v>
      </c>
      <c r="F152" s="216">
        <v>671.81</v>
      </c>
      <c r="G152" s="216">
        <v>3</v>
      </c>
      <c r="H152" s="216" t="s">
        <v>527</v>
      </c>
      <c r="I152" s="216" t="s">
        <v>513</v>
      </c>
      <c r="J152" s="216">
        <v>1977</v>
      </c>
      <c r="K152" s="216">
        <v>12</v>
      </c>
      <c r="L152" s="213">
        <v>0</v>
      </c>
      <c r="M152" s="216">
        <v>12</v>
      </c>
      <c r="N152" s="213">
        <v>0</v>
      </c>
      <c r="O152" s="213" t="s">
        <v>514</v>
      </c>
      <c r="P152" s="213">
        <v>156916523</v>
      </c>
      <c r="Q152" s="213" t="s">
        <v>515</v>
      </c>
      <c r="R152" s="213" t="s">
        <v>516</v>
      </c>
    </row>
    <row r="153" spans="1:18" ht="24" x14ac:dyDescent="0.25">
      <c r="A153" s="212" t="s">
        <v>510</v>
      </c>
      <c r="B153" s="213">
        <v>152</v>
      </c>
      <c r="C153" s="214" t="s">
        <v>679</v>
      </c>
      <c r="D153" s="215">
        <v>469750004011</v>
      </c>
      <c r="E153" s="216">
        <v>691.11</v>
      </c>
      <c r="F153" s="216">
        <v>513.61</v>
      </c>
      <c r="G153" s="216">
        <v>3</v>
      </c>
      <c r="H153" s="216" t="s">
        <v>527</v>
      </c>
      <c r="I153" s="216" t="s">
        <v>513</v>
      </c>
      <c r="J153" s="216">
        <v>1975</v>
      </c>
      <c r="K153" s="216">
        <v>9</v>
      </c>
      <c r="L153" s="213">
        <v>0</v>
      </c>
      <c r="M153" s="216">
        <v>9</v>
      </c>
      <c r="N153" s="213">
        <v>0</v>
      </c>
      <c r="O153" s="213" t="s">
        <v>514</v>
      </c>
      <c r="P153" s="213">
        <v>156916523</v>
      </c>
      <c r="Q153" s="213" t="s">
        <v>515</v>
      </c>
      <c r="R153" s="213" t="s">
        <v>516</v>
      </c>
    </row>
    <row r="154" spans="1:18" ht="24" x14ac:dyDescent="0.25">
      <c r="A154" s="212" t="s">
        <v>510</v>
      </c>
      <c r="B154" s="213">
        <v>153</v>
      </c>
      <c r="C154" s="214" t="s">
        <v>680</v>
      </c>
      <c r="D154" s="215">
        <v>469760003019</v>
      </c>
      <c r="E154" s="216">
        <v>603.03</v>
      </c>
      <c r="F154" s="216">
        <v>513.52</v>
      </c>
      <c r="G154" s="216">
        <v>3</v>
      </c>
      <c r="H154" s="216" t="s">
        <v>550</v>
      </c>
      <c r="I154" s="216" t="s">
        <v>513</v>
      </c>
      <c r="J154" s="216">
        <v>1976</v>
      </c>
      <c r="K154" s="216">
        <v>9</v>
      </c>
      <c r="L154" s="213">
        <v>0</v>
      </c>
      <c r="M154" s="216">
        <v>9</v>
      </c>
      <c r="N154" s="213">
        <v>0</v>
      </c>
      <c r="O154" s="213" t="s">
        <v>514</v>
      </c>
      <c r="P154" s="213">
        <v>156916523</v>
      </c>
      <c r="Q154" s="213" t="s">
        <v>515</v>
      </c>
      <c r="R154" s="213" t="s">
        <v>516</v>
      </c>
    </row>
    <row r="155" spans="1:18" ht="24" x14ac:dyDescent="0.25">
      <c r="A155" s="212" t="s">
        <v>510</v>
      </c>
      <c r="B155" s="213">
        <v>154</v>
      </c>
      <c r="C155" s="214" t="s">
        <v>681</v>
      </c>
      <c r="D155" s="215">
        <v>469650005016</v>
      </c>
      <c r="E155" s="216">
        <v>236.25</v>
      </c>
      <c r="F155" s="216">
        <v>236.25</v>
      </c>
      <c r="G155" s="216">
        <v>2</v>
      </c>
      <c r="H155" s="216" t="s">
        <v>527</v>
      </c>
      <c r="I155" s="216" t="s">
        <v>524</v>
      </c>
      <c r="J155" s="216">
        <v>2006</v>
      </c>
      <c r="K155" s="216">
        <v>4</v>
      </c>
      <c r="L155" s="213">
        <v>0</v>
      </c>
      <c r="M155" s="216">
        <v>4</v>
      </c>
      <c r="N155" s="213">
        <v>0</v>
      </c>
      <c r="O155" s="213"/>
      <c r="P155" s="213">
        <v>156916523</v>
      </c>
      <c r="Q155" s="213" t="s">
        <v>515</v>
      </c>
      <c r="R155" s="213" t="s">
        <v>516</v>
      </c>
    </row>
    <row r="156" spans="1:18" ht="24" x14ac:dyDescent="0.25">
      <c r="A156" s="212" t="s">
        <v>510</v>
      </c>
      <c r="B156" s="213">
        <v>155</v>
      </c>
      <c r="C156" s="214" t="s">
        <v>682</v>
      </c>
      <c r="D156" s="215">
        <v>469650004019</v>
      </c>
      <c r="E156" s="216">
        <v>383.67</v>
      </c>
      <c r="F156" s="216">
        <v>368.07</v>
      </c>
      <c r="G156" s="216">
        <v>2</v>
      </c>
      <c r="H156" s="216" t="s">
        <v>527</v>
      </c>
      <c r="I156" s="216" t="s">
        <v>524</v>
      </c>
      <c r="J156" s="216">
        <v>1965</v>
      </c>
      <c r="K156" s="216">
        <v>8</v>
      </c>
      <c r="L156" s="213">
        <v>0</v>
      </c>
      <c r="M156" s="216">
        <v>8</v>
      </c>
      <c r="N156" s="213">
        <v>0</v>
      </c>
      <c r="O156" s="213" t="s">
        <v>514</v>
      </c>
      <c r="P156" s="213">
        <v>156916523</v>
      </c>
      <c r="Q156" s="213" t="s">
        <v>515</v>
      </c>
      <c r="R156" s="213" t="s">
        <v>516</v>
      </c>
    </row>
    <row r="157" spans="1:18" ht="24" x14ac:dyDescent="0.25">
      <c r="A157" s="212" t="s">
        <v>510</v>
      </c>
      <c r="B157" s="213">
        <v>156</v>
      </c>
      <c r="C157" s="214" t="s">
        <v>683</v>
      </c>
      <c r="D157" s="215">
        <v>469630003012</v>
      </c>
      <c r="E157" s="216">
        <v>317.82</v>
      </c>
      <c r="F157" s="216">
        <v>314.31</v>
      </c>
      <c r="G157" s="216">
        <v>2</v>
      </c>
      <c r="H157" s="216" t="s">
        <v>527</v>
      </c>
      <c r="I157" s="216" t="s">
        <v>524</v>
      </c>
      <c r="J157" s="216">
        <v>1963</v>
      </c>
      <c r="K157" s="216">
        <v>4</v>
      </c>
      <c r="L157" s="213">
        <v>0</v>
      </c>
      <c r="M157" s="216">
        <v>4</v>
      </c>
      <c r="N157" s="213">
        <v>0</v>
      </c>
      <c r="O157" s="213" t="s">
        <v>514</v>
      </c>
      <c r="P157" s="213">
        <v>156916523</v>
      </c>
      <c r="Q157" s="213" t="s">
        <v>515</v>
      </c>
      <c r="R157" s="213" t="s">
        <v>516</v>
      </c>
    </row>
    <row r="158" spans="1:18" ht="24" x14ac:dyDescent="0.25">
      <c r="A158" s="212" t="s">
        <v>510</v>
      </c>
      <c r="B158" s="213">
        <v>157</v>
      </c>
      <c r="C158" s="214" t="s">
        <v>684</v>
      </c>
      <c r="D158" s="215">
        <v>469730003016</v>
      </c>
      <c r="E158" s="216">
        <v>585.6</v>
      </c>
      <c r="F158" s="216">
        <v>510.93</v>
      </c>
      <c r="G158" s="216">
        <v>3</v>
      </c>
      <c r="H158" s="216" t="s">
        <v>550</v>
      </c>
      <c r="I158" s="216" t="s">
        <v>513</v>
      </c>
      <c r="J158" s="216">
        <v>1973</v>
      </c>
      <c r="K158" s="216">
        <v>9</v>
      </c>
      <c r="L158" s="213">
        <v>0</v>
      </c>
      <c r="M158" s="216">
        <v>9</v>
      </c>
      <c r="N158" s="213">
        <v>0</v>
      </c>
      <c r="O158" s="213" t="s">
        <v>514</v>
      </c>
      <c r="P158" s="213">
        <v>156916523</v>
      </c>
      <c r="Q158" s="213" t="s">
        <v>515</v>
      </c>
      <c r="R158" s="213" t="s">
        <v>516</v>
      </c>
    </row>
    <row r="159" spans="1:18" ht="24" x14ac:dyDescent="0.25">
      <c r="A159" s="212" t="s">
        <v>510</v>
      </c>
      <c r="B159" s="213">
        <v>158</v>
      </c>
      <c r="C159" s="214" t="s">
        <v>685</v>
      </c>
      <c r="D159" s="215">
        <v>469730004013</v>
      </c>
      <c r="E159" s="216">
        <v>683.81</v>
      </c>
      <c r="F159" s="216">
        <v>514.29999999999995</v>
      </c>
      <c r="G159" s="216">
        <v>3</v>
      </c>
      <c r="H159" s="216" t="s">
        <v>527</v>
      </c>
      <c r="I159" s="216" t="s">
        <v>513</v>
      </c>
      <c r="J159" s="216">
        <v>1973</v>
      </c>
      <c r="K159" s="216">
        <v>9</v>
      </c>
      <c r="L159" s="213">
        <v>0</v>
      </c>
      <c r="M159" s="216">
        <v>9</v>
      </c>
      <c r="N159" s="213">
        <v>0</v>
      </c>
      <c r="O159" s="213" t="s">
        <v>514</v>
      </c>
      <c r="P159" s="213">
        <v>156916523</v>
      </c>
      <c r="Q159" s="213" t="s">
        <v>515</v>
      </c>
      <c r="R159" s="213" t="s">
        <v>516</v>
      </c>
    </row>
    <row r="160" spans="1:18" ht="24" x14ac:dyDescent="0.25">
      <c r="A160" s="212" t="s">
        <v>510</v>
      </c>
      <c r="B160" s="213">
        <v>159</v>
      </c>
      <c r="C160" s="214" t="s">
        <v>686</v>
      </c>
      <c r="D160" s="215">
        <v>469810006013</v>
      </c>
      <c r="E160" s="216">
        <v>2623.42</v>
      </c>
      <c r="F160" s="216">
        <v>2111.12</v>
      </c>
      <c r="G160" s="216">
        <v>5</v>
      </c>
      <c r="H160" s="216" t="s">
        <v>527</v>
      </c>
      <c r="I160" s="216" t="s">
        <v>519</v>
      </c>
      <c r="J160" s="216">
        <v>1981</v>
      </c>
      <c r="K160" s="216">
        <v>53</v>
      </c>
      <c r="L160" s="213">
        <v>1</v>
      </c>
      <c r="M160" s="216">
        <v>52</v>
      </c>
      <c r="N160" s="213">
        <v>1</v>
      </c>
      <c r="O160" s="213" t="s">
        <v>514</v>
      </c>
      <c r="P160" s="213">
        <v>156916523</v>
      </c>
      <c r="Q160" s="213" t="s">
        <v>515</v>
      </c>
      <c r="R160" s="213" t="s">
        <v>516</v>
      </c>
    </row>
    <row r="161" spans="1:18" ht="24" x14ac:dyDescent="0.25">
      <c r="A161" s="212" t="s">
        <v>510</v>
      </c>
      <c r="B161" s="213">
        <v>160</v>
      </c>
      <c r="C161" s="214" t="s">
        <v>687</v>
      </c>
      <c r="D161" s="215">
        <v>469870012015</v>
      </c>
      <c r="E161" s="216">
        <v>3060.72</v>
      </c>
      <c r="F161" s="216">
        <v>2294.02</v>
      </c>
      <c r="G161" s="216">
        <v>5</v>
      </c>
      <c r="H161" s="216" t="s">
        <v>527</v>
      </c>
      <c r="I161" s="216" t="s">
        <v>519</v>
      </c>
      <c r="J161" s="216">
        <v>1987</v>
      </c>
      <c r="K161" s="216">
        <v>60</v>
      </c>
      <c r="L161" s="213">
        <v>0</v>
      </c>
      <c r="M161" s="216">
        <v>60</v>
      </c>
      <c r="N161" s="213">
        <v>0</v>
      </c>
      <c r="O161" s="213" t="s">
        <v>514</v>
      </c>
      <c r="P161" s="213">
        <v>156916523</v>
      </c>
      <c r="Q161" s="213" t="s">
        <v>515</v>
      </c>
      <c r="R161" s="213" t="s">
        <v>516</v>
      </c>
    </row>
    <row r="162" spans="1:18" ht="24" x14ac:dyDescent="0.25">
      <c r="A162" s="212" t="s">
        <v>510</v>
      </c>
      <c r="B162" s="213">
        <v>161</v>
      </c>
      <c r="C162" s="214" t="s">
        <v>688</v>
      </c>
      <c r="D162" s="215">
        <v>469870017012</v>
      </c>
      <c r="E162" s="216">
        <v>2884.43</v>
      </c>
      <c r="F162" s="216">
        <v>2366.25</v>
      </c>
      <c r="G162" s="216">
        <v>5</v>
      </c>
      <c r="H162" s="216" t="s">
        <v>512</v>
      </c>
      <c r="I162" s="216" t="s">
        <v>513</v>
      </c>
      <c r="J162" s="216">
        <v>1987</v>
      </c>
      <c r="K162" s="216">
        <v>65</v>
      </c>
      <c r="L162" s="213">
        <v>0</v>
      </c>
      <c r="M162" s="216">
        <v>65</v>
      </c>
      <c r="N162" s="213">
        <v>0</v>
      </c>
      <c r="O162" s="213" t="s">
        <v>514</v>
      </c>
      <c r="P162" s="213">
        <v>156916523</v>
      </c>
      <c r="Q162" s="213" t="s">
        <v>515</v>
      </c>
      <c r="R162" s="213" t="s">
        <v>516</v>
      </c>
    </row>
    <row r="163" spans="1:18" ht="24" x14ac:dyDescent="0.25">
      <c r="A163" s="212" t="s">
        <v>510</v>
      </c>
      <c r="B163" s="213">
        <v>162</v>
      </c>
      <c r="C163" s="214" t="s">
        <v>689</v>
      </c>
      <c r="D163" s="215">
        <v>469850017014</v>
      </c>
      <c r="E163" s="216">
        <v>2856.13</v>
      </c>
      <c r="F163" s="216">
        <v>2333.23</v>
      </c>
      <c r="G163" s="216">
        <v>5</v>
      </c>
      <c r="H163" s="216" t="s">
        <v>512</v>
      </c>
      <c r="I163" s="216" t="s">
        <v>513</v>
      </c>
      <c r="J163" s="216">
        <v>1985</v>
      </c>
      <c r="K163" s="216">
        <v>65</v>
      </c>
      <c r="L163" s="213">
        <v>0</v>
      </c>
      <c r="M163" s="216">
        <v>65</v>
      </c>
      <c r="N163" s="213">
        <v>0</v>
      </c>
      <c r="O163" s="213" t="s">
        <v>514</v>
      </c>
      <c r="P163" s="213">
        <v>156916523</v>
      </c>
      <c r="Q163" s="213" t="s">
        <v>515</v>
      </c>
      <c r="R163" s="213" t="s">
        <v>516</v>
      </c>
    </row>
    <row r="164" spans="1:18" ht="24" x14ac:dyDescent="0.25">
      <c r="A164" s="212" t="s">
        <v>510</v>
      </c>
      <c r="B164" s="213">
        <v>163</v>
      </c>
      <c r="C164" s="214" t="s">
        <v>690</v>
      </c>
      <c r="D164" s="215">
        <v>469870018010</v>
      </c>
      <c r="E164" s="216">
        <v>1834.94</v>
      </c>
      <c r="F164" s="216">
        <v>1510.75</v>
      </c>
      <c r="G164" s="216">
        <v>5</v>
      </c>
      <c r="H164" s="216" t="s">
        <v>518</v>
      </c>
      <c r="I164" s="216" t="s">
        <v>513</v>
      </c>
      <c r="J164" s="216">
        <v>1987</v>
      </c>
      <c r="K164" s="216">
        <v>30</v>
      </c>
      <c r="L164" s="213">
        <v>0</v>
      </c>
      <c r="M164" s="216">
        <v>30</v>
      </c>
      <c r="N164" s="213">
        <v>0</v>
      </c>
      <c r="O164" s="213" t="s">
        <v>514</v>
      </c>
      <c r="P164" s="213">
        <v>156916523</v>
      </c>
      <c r="Q164" s="213" t="s">
        <v>515</v>
      </c>
      <c r="R164" s="213" t="s">
        <v>516</v>
      </c>
    </row>
    <row r="165" spans="1:18" ht="24" x14ac:dyDescent="0.25">
      <c r="A165" s="212" t="s">
        <v>510</v>
      </c>
      <c r="B165" s="213">
        <v>164</v>
      </c>
      <c r="C165" s="214" t="s">
        <v>691</v>
      </c>
      <c r="D165" s="215">
        <v>469890016013</v>
      </c>
      <c r="E165" s="216">
        <v>3441.87</v>
      </c>
      <c r="F165" s="216">
        <v>2996.7</v>
      </c>
      <c r="G165" s="216">
        <v>9</v>
      </c>
      <c r="H165" s="216" t="s">
        <v>518</v>
      </c>
      <c r="I165" s="216" t="s">
        <v>513</v>
      </c>
      <c r="J165" s="216">
        <v>1989</v>
      </c>
      <c r="K165" s="216">
        <v>54</v>
      </c>
      <c r="L165" s="213">
        <v>0</v>
      </c>
      <c r="M165" s="216">
        <v>54</v>
      </c>
      <c r="N165" s="213">
        <v>0</v>
      </c>
      <c r="O165" s="213" t="s">
        <v>514</v>
      </c>
      <c r="P165" s="213">
        <v>156916523</v>
      </c>
      <c r="Q165" s="213" t="s">
        <v>515</v>
      </c>
      <c r="R165" s="213" t="s">
        <v>516</v>
      </c>
    </row>
    <row r="166" spans="1:18" ht="24" x14ac:dyDescent="0.25">
      <c r="A166" s="212" t="s">
        <v>510</v>
      </c>
      <c r="B166" s="213">
        <v>165</v>
      </c>
      <c r="C166" s="214" t="s">
        <v>692</v>
      </c>
      <c r="D166" s="215">
        <v>469850018011</v>
      </c>
      <c r="E166" s="216">
        <v>1798.69</v>
      </c>
      <c r="F166" s="216">
        <v>1495.9</v>
      </c>
      <c r="G166" s="216">
        <v>5</v>
      </c>
      <c r="H166" s="216" t="s">
        <v>518</v>
      </c>
      <c r="I166" s="216" t="s">
        <v>513</v>
      </c>
      <c r="J166" s="216">
        <v>1985</v>
      </c>
      <c r="K166" s="216">
        <v>30</v>
      </c>
      <c r="L166" s="213">
        <v>0</v>
      </c>
      <c r="M166" s="216">
        <v>30</v>
      </c>
      <c r="N166" s="213">
        <v>0</v>
      </c>
      <c r="O166" s="213" t="s">
        <v>514</v>
      </c>
      <c r="P166" s="213">
        <v>156916523</v>
      </c>
      <c r="Q166" s="213" t="s">
        <v>515</v>
      </c>
      <c r="R166" s="213" t="s">
        <v>516</v>
      </c>
    </row>
    <row r="167" spans="1:18" ht="24" x14ac:dyDescent="0.25">
      <c r="A167" s="212" t="s">
        <v>510</v>
      </c>
      <c r="B167" s="213">
        <v>166</v>
      </c>
      <c r="C167" s="214" t="s">
        <v>693</v>
      </c>
      <c r="D167" s="215">
        <v>469860017019</v>
      </c>
      <c r="E167" s="216">
        <v>1835.54</v>
      </c>
      <c r="F167" s="216">
        <v>1510.75</v>
      </c>
      <c r="G167" s="216">
        <v>5</v>
      </c>
      <c r="H167" s="216" t="s">
        <v>518</v>
      </c>
      <c r="I167" s="216" t="s">
        <v>513</v>
      </c>
      <c r="J167" s="216">
        <v>1986</v>
      </c>
      <c r="K167" s="216">
        <v>30</v>
      </c>
      <c r="L167" s="213">
        <v>0</v>
      </c>
      <c r="M167" s="216">
        <v>30</v>
      </c>
      <c r="N167" s="213">
        <v>0</v>
      </c>
      <c r="O167" s="213" t="s">
        <v>514</v>
      </c>
      <c r="P167" s="213">
        <v>156916523</v>
      </c>
      <c r="Q167" s="213" t="s">
        <v>515</v>
      </c>
      <c r="R167" s="213" t="s">
        <v>516</v>
      </c>
    </row>
    <row r="168" spans="1:18" ht="24" x14ac:dyDescent="0.25">
      <c r="A168" s="212" t="s">
        <v>510</v>
      </c>
      <c r="B168" s="213">
        <v>167</v>
      </c>
      <c r="C168" s="214" t="s">
        <v>694</v>
      </c>
      <c r="D168" s="215">
        <v>469900008018</v>
      </c>
      <c r="E168" s="216">
        <v>3408.59</v>
      </c>
      <c r="F168" s="216">
        <v>2969.86</v>
      </c>
      <c r="G168" s="216">
        <v>9</v>
      </c>
      <c r="H168" s="216" t="s">
        <v>523</v>
      </c>
      <c r="I168" s="216" t="s">
        <v>513</v>
      </c>
      <c r="J168" s="216">
        <v>1990</v>
      </c>
      <c r="K168" s="216">
        <v>54</v>
      </c>
      <c r="L168" s="213">
        <v>0</v>
      </c>
      <c r="M168" s="216">
        <v>54</v>
      </c>
      <c r="N168" s="213">
        <v>0</v>
      </c>
      <c r="O168" s="213" t="s">
        <v>514</v>
      </c>
      <c r="P168" s="213">
        <v>156916523</v>
      </c>
      <c r="Q168" s="213" t="s">
        <v>515</v>
      </c>
      <c r="R168" s="213" t="s">
        <v>516</v>
      </c>
    </row>
    <row r="169" spans="1:18" ht="24" x14ac:dyDescent="0.25">
      <c r="A169" s="212" t="s">
        <v>510</v>
      </c>
      <c r="B169" s="213">
        <v>168</v>
      </c>
      <c r="C169" s="214" t="s">
        <v>695</v>
      </c>
      <c r="D169" s="215">
        <v>469880011011</v>
      </c>
      <c r="E169" s="216">
        <v>3427.36</v>
      </c>
      <c r="F169" s="216">
        <v>2980.26</v>
      </c>
      <c r="G169" s="216">
        <v>9</v>
      </c>
      <c r="H169" s="216" t="s">
        <v>518</v>
      </c>
      <c r="I169" s="216" t="s">
        <v>513</v>
      </c>
      <c r="J169" s="216">
        <v>1988</v>
      </c>
      <c r="K169" s="216">
        <v>54</v>
      </c>
      <c r="L169" s="213">
        <v>0</v>
      </c>
      <c r="M169" s="216">
        <v>54</v>
      </c>
      <c r="N169" s="213">
        <v>0</v>
      </c>
      <c r="O169" s="213" t="s">
        <v>514</v>
      </c>
      <c r="P169" s="213">
        <v>156916523</v>
      </c>
      <c r="Q169" s="213" t="s">
        <v>515</v>
      </c>
      <c r="R169" s="213" t="s">
        <v>516</v>
      </c>
    </row>
    <row r="170" spans="1:18" ht="24" x14ac:dyDescent="0.25">
      <c r="A170" s="212" t="s">
        <v>510</v>
      </c>
      <c r="B170" s="213">
        <v>169</v>
      </c>
      <c r="C170" s="214" t="s">
        <v>696</v>
      </c>
      <c r="D170" s="215">
        <v>469870014016</v>
      </c>
      <c r="E170" s="216">
        <v>1849.64</v>
      </c>
      <c r="F170" s="216">
        <v>1509.94</v>
      </c>
      <c r="G170" s="216">
        <v>5</v>
      </c>
      <c r="H170" s="216" t="s">
        <v>518</v>
      </c>
      <c r="I170" s="216" t="s">
        <v>513</v>
      </c>
      <c r="J170" s="216">
        <v>1987</v>
      </c>
      <c r="K170" s="216">
        <v>29</v>
      </c>
      <c r="L170" s="213">
        <v>0</v>
      </c>
      <c r="M170" s="216">
        <v>29</v>
      </c>
      <c r="N170" s="213">
        <v>0</v>
      </c>
      <c r="O170" s="213" t="s">
        <v>514</v>
      </c>
      <c r="P170" s="213">
        <v>156916523</v>
      </c>
      <c r="Q170" s="213" t="s">
        <v>515</v>
      </c>
      <c r="R170" s="213" t="s">
        <v>516</v>
      </c>
    </row>
    <row r="171" spans="1:18" ht="24" x14ac:dyDescent="0.25">
      <c r="A171" s="212" t="s">
        <v>510</v>
      </c>
      <c r="B171" s="213">
        <v>170</v>
      </c>
      <c r="C171" s="214" t="s">
        <v>697</v>
      </c>
      <c r="D171" s="215">
        <v>469870015018</v>
      </c>
      <c r="E171" s="216">
        <v>1854.57</v>
      </c>
      <c r="F171" s="216">
        <v>1511.65</v>
      </c>
      <c r="G171" s="216">
        <v>5</v>
      </c>
      <c r="H171" s="216" t="s">
        <v>512</v>
      </c>
      <c r="I171" s="216" t="s">
        <v>513</v>
      </c>
      <c r="J171" s="216">
        <v>1987</v>
      </c>
      <c r="K171" s="216">
        <v>30</v>
      </c>
      <c r="L171" s="213">
        <v>0</v>
      </c>
      <c r="M171" s="216">
        <v>30</v>
      </c>
      <c r="N171" s="213">
        <v>0</v>
      </c>
      <c r="O171" s="213" t="s">
        <v>514</v>
      </c>
      <c r="P171" s="213">
        <v>156916523</v>
      </c>
      <c r="Q171" s="213" t="s">
        <v>515</v>
      </c>
      <c r="R171" s="213" t="s">
        <v>516</v>
      </c>
    </row>
    <row r="172" spans="1:18" ht="24" x14ac:dyDescent="0.25">
      <c r="A172" s="212" t="s">
        <v>510</v>
      </c>
      <c r="B172" s="213">
        <v>171</v>
      </c>
      <c r="C172" s="214" t="s">
        <v>698</v>
      </c>
      <c r="D172" s="215">
        <v>469880010014</v>
      </c>
      <c r="E172" s="216">
        <v>3442.89</v>
      </c>
      <c r="F172" s="216">
        <v>2997.57</v>
      </c>
      <c r="G172" s="216">
        <v>9</v>
      </c>
      <c r="H172" s="216" t="s">
        <v>512</v>
      </c>
      <c r="I172" s="216" t="s">
        <v>513</v>
      </c>
      <c r="J172" s="216">
        <v>1988</v>
      </c>
      <c r="K172" s="216">
        <v>54</v>
      </c>
      <c r="L172" s="213">
        <v>0</v>
      </c>
      <c r="M172" s="216">
        <v>54</v>
      </c>
      <c r="N172" s="213">
        <v>0</v>
      </c>
      <c r="O172" s="213" t="s">
        <v>514</v>
      </c>
      <c r="P172" s="213">
        <v>156916523</v>
      </c>
      <c r="Q172" s="213" t="s">
        <v>515</v>
      </c>
      <c r="R172" s="213" t="s">
        <v>516</v>
      </c>
    </row>
    <row r="173" spans="1:18" ht="24" x14ac:dyDescent="0.25">
      <c r="A173" s="212" t="s">
        <v>510</v>
      </c>
      <c r="B173" s="213">
        <v>172</v>
      </c>
      <c r="C173" s="214" t="s">
        <v>699</v>
      </c>
      <c r="D173" s="215">
        <v>469890015016</v>
      </c>
      <c r="E173" s="216">
        <v>3328.69</v>
      </c>
      <c r="F173" s="216">
        <v>2997.89</v>
      </c>
      <c r="G173" s="216">
        <v>9</v>
      </c>
      <c r="H173" s="216" t="s">
        <v>512</v>
      </c>
      <c r="I173" s="216" t="s">
        <v>513</v>
      </c>
      <c r="J173" s="216">
        <v>1989</v>
      </c>
      <c r="K173" s="216">
        <v>54</v>
      </c>
      <c r="L173" s="213">
        <v>0</v>
      </c>
      <c r="M173" s="216">
        <v>54</v>
      </c>
      <c r="N173" s="213">
        <v>0</v>
      </c>
      <c r="O173" s="213" t="s">
        <v>514</v>
      </c>
      <c r="P173" s="213">
        <v>156916523</v>
      </c>
      <c r="Q173" s="213" t="s">
        <v>515</v>
      </c>
      <c r="R173" s="213" t="s">
        <v>516</v>
      </c>
    </row>
    <row r="174" spans="1:18" ht="24" x14ac:dyDescent="0.25">
      <c r="A174" s="212" t="s">
        <v>510</v>
      </c>
      <c r="B174" s="213">
        <v>173</v>
      </c>
      <c r="C174" s="214" t="s">
        <v>700</v>
      </c>
      <c r="D174" s="215">
        <v>469870016015</v>
      </c>
      <c r="E174" s="216">
        <v>3458.84</v>
      </c>
      <c r="F174" s="216">
        <v>3009.31</v>
      </c>
      <c r="G174" s="216">
        <v>9</v>
      </c>
      <c r="H174" s="216" t="s">
        <v>518</v>
      </c>
      <c r="I174" s="216" t="s">
        <v>519</v>
      </c>
      <c r="J174" s="216">
        <v>1987</v>
      </c>
      <c r="K174" s="216">
        <v>54</v>
      </c>
      <c r="L174" s="213">
        <v>0</v>
      </c>
      <c r="M174" s="216">
        <v>54</v>
      </c>
      <c r="N174" s="213">
        <v>0</v>
      </c>
      <c r="O174" s="213" t="s">
        <v>514</v>
      </c>
      <c r="P174" s="213">
        <v>156916523</v>
      </c>
      <c r="Q174" s="213" t="s">
        <v>515</v>
      </c>
      <c r="R174" s="213" t="s">
        <v>516</v>
      </c>
    </row>
    <row r="175" spans="1:18" ht="24" x14ac:dyDescent="0.25">
      <c r="A175" s="212" t="s">
        <v>510</v>
      </c>
      <c r="B175" s="213">
        <v>174</v>
      </c>
      <c r="C175" s="214" t="s">
        <v>701</v>
      </c>
      <c r="D175" s="215">
        <v>469660014010</v>
      </c>
      <c r="E175" s="216">
        <v>3239.08</v>
      </c>
      <c r="F175" s="216">
        <v>2748.11</v>
      </c>
      <c r="G175" s="216">
        <v>5</v>
      </c>
      <c r="H175" s="216" t="s">
        <v>523</v>
      </c>
      <c r="I175" s="216" t="s">
        <v>542</v>
      </c>
      <c r="J175" s="216">
        <v>1966</v>
      </c>
      <c r="K175" s="216">
        <v>60</v>
      </c>
      <c r="L175" s="213">
        <v>0</v>
      </c>
      <c r="M175" s="216">
        <v>60</v>
      </c>
      <c r="N175" s="213">
        <v>0</v>
      </c>
      <c r="O175" s="213" t="s">
        <v>514</v>
      </c>
      <c r="P175" s="213">
        <v>156916523</v>
      </c>
      <c r="Q175" s="213" t="s">
        <v>515</v>
      </c>
      <c r="R175" s="213" t="s">
        <v>516</v>
      </c>
    </row>
    <row r="176" spans="1:18" ht="24" x14ac:dyDescent="0.25">
      <c r="A176" s="212" t="s">
        <v>510</v>
      </c>
      <c r="B176" s="213">
        <v>175</v>
      </c>
      <c r="C176" s="214" t="s">
        <v>702</v>
      </c>
      <c r="D176" s="215">
        <v>469660015017</v>
      </c>
      <c r="E176" s="216">
        <v>3227.58</v>
      </c>
      <c r="F176" s="216">
        <v>2684.01</v>
      </c>
      <c r="G176" s="216">
        <v>5</v>
      </c>
      <c r="H176" s="216" t="s">
        <v>512</v>
      </c>
      <c r="I176" s="216" t="s">
        <v>513</v>
      </c>
      <c r="J176" s="216">
        <v>1966</v>
      </c>
      <c r="K176" s="216">
        <v>60</v>
      </c>
      <c r="L176" s="213">
        <v>0</v>
      </c>
      <c r="M176" s="216">
        <v>60</v>
      </c>
      <c r="N176" s="213">
        <v>0</v>
      </c>
      <c r="O176" s="213" t="s">
        <v>514</v>
      </c>
      <c r="P176" s="213">
        <v>156916523</v>
      </c>
      <c r="Q176" s="213" t="s">
        <v>515</v>
      </c>
      <c r="R176" s="213" t="s">
        <v>516</v>
      </c>
    </row>
    <row r="177" spans="1:18" ht="24" x14ac:dyDescent="0.25">
      <c r="A177" s="212" t="s">
        <v>510</v>
      </c>
      <c r="B177" s="213">
        <v>176</v>
      </c>
      <c r="C177" s="214" t="s">
        <v>703</v>
      </c>
      <c r="D177" s="215">
        <v>469660016014</v>
      </c>
      <c r="E177" s="216">
        <v>3566.1</v>
      </c>
      <c r="F177" s="216">
        <v>2700.79</v>
      </c>
      <c r="G177" s="216">
        <v>5</v>
      </c>
      <c r="H177" s="216" t="s">
        <v>518</v>
      </c>
      <c r="I177" s="216" t="s">
        <v>542</v>
      </c>
      <c r="J177" s="216">
        <v>1966</v>
      </c>
      <c r="K177" s="216">
        <v>60</v>
      </c>
      <c r="L177" s="213">
        <v>0</v>
      </c>
      <c r="M177" s="216">
        <v>60</v>
      </c>
      <c r="N177" s="213">
        <v>0</v>
      </c>
      <c r="O177" s="213" t="s">
        <v>514</v>
      </c>
      <c r="P177" s="213">
        <v>156916523</v>
      </c>
      <c r="Q177" s="213" t="s">
        <v>515</v>
      </c>
      <c r="R177" s="213" t="s">
        <v>516</v>
      </c>
    </row>
    <row r="178" spans="1:18" ht="24" x14ac:dyDescent="0.25">
      <c r="A178" s="212" t="s">
        <v>510</v>
      </c>
      <c r="B178" s="213">
        <v>177</v>
      </c>
      <c r="C178" s="214" t="s">
        <v>704</v>
      </c>
      <c r="D178" s="215">
        <v>469650026017</v>
      </c>
      <c r="E178" s="216">
        <v>3582.59</v>
      </c>
      <c r="F178" s="216">
        <v>2701.06</v>
      </c>
      <c r="G178" s="216">
        <v>5</v>
      </c>
      <c r="H178" s="216" t="s">
        <v>518</v>
      </c>
      <c r="I178" s="216" t="s">
        <v>542</v>
      </c>
      <c r="J178" s="216">
        <v>1965</v>
      </c>
      <c r="K178" s="216">
        <v>60</v>
      </c>
      <c r="L178" s="213">
        <v>0</v>
      </c>
      <c r="M178" s="216">
        <v>60</v>
      </c>
      <c r="N178" s="213">
        <v>0</v>
      </c>
      <c r="O178" s="213" t="s">
        <v>514</v>
      </c>
      <c r="P178" s="213">
        <v>156916523</v>
      </c>
      <c r="Q178" s="213" t="s">
        <v>515</v>
      </c>
      <c r="R178" s="213" t="s">
        <v>516</v>
      </c>
    </row>
    <row r="179" spans="1:18" ht="24" x14ac:dyDescent="0.25">
      <c r="A179" s="212" t="s">
        <v>510</v>
      </c>
      <c r="B179" s="213">
        <v>178</v>
      </c>
      <c r="C179" s="214" t="s">
        <v>705</v>
      </c>
      <c r="D179" s="215">
        <v>469660017011</v>
      </c>
      <c r="E179" s="216">
        <v>3579.34</v>
      </c>
      <c r="F179" s="216">
        <v>2711.39</v>
      </c>
      <c r="G179" s="216">
        <v>5</v>
      </c>
      <c r="H179" s="216" t="s">
        <v>518</v>
      </c>
      <c r="I179" s="216" t="s">
        <v>542</v>
      </c>
      <c r="J179" s="216">
        <v>1966</v>
      </c>
      <c r="K179" s="216">
        <v>60</v>
      </c>
      <c r="L179" s="213">
        <v>0</v>
      </c>
      <c r="M179" s="216">
        <v>60</v>
      </c>
      <c r="N179" s="213">
        <v>0</v>
      </c>
      <c r="O179" s="213" t="s">
        <v>514</v>
      </c>
      <c r="P179" s="213">
        <v>156916523</v>
      </c>
      <c r="Q179" s="213" t="s">
        <v>515</v>
      </c>
      <c r="R179" s="213" t="s">
        <v>516</v>
      </c>
    </row>
    <row r="180" spans="1:18" ht="24" x14ac:dyDescent="0.25">
      <c r="A180" s="212" t="s">
        <v>510</v>
      </c>
      <c r="B180" s="213">
        <v>179</v>
      </c>
      <c r="C180" s="214" t="s">
        <v>706</v>
      </c>
      <c r="D180" s="215">
        <v>469690017014</v>
      </c>
      <c r="E180" s="216">
        <v>3259.39</v>
      </c>
      <c r="F180" s="216">
        <v>3046.9</v>
      </c>
      <c r="G180" s="216">
        <v>9</v>
      </c>
      <c r="H180" s="216" t="s">
        <v>527</v>
      </c>
      <c r="I180" s="216" t="s">
        <v>542</v>
      </c>
      <c r="J180" s="216">
        <v>1969</v>
      </c>
      <c r="K180" s="216">
        <v>104</v>
      </c>
      <c r="L180" s="213">
        <v>1</v>
      </c>
      <c r="M180" s="216">
        <v>104</v>
      </c>
      <c r="N180" s="213">
        <v>1</v>
      </c>
      <c r="O180" s="213" t="s">
        <v>514</v>
      </c>
      <c r="P180" s="213">
        <v>156916523</v>
      </c>
      <c r="Q180" s="213" t="s">
        <v>515</v>
      </c>
      <c r="R180" s="213" t="s">
        <v>516</v>
      </c>
    </row>
    <row r="181" spans="1:18" ht="24" x14ac:dyDescent="0.25">
      <c r="A181" s="212" t="s">
        <v>510</v>
      </c>
      <c r="B181" s="213">
        <v>180</v>
      </c>
      <c r="C181" s="214" t="s">
        <v>707</v>
      </c>
      <c r="D181" s="215">
        <v>469700035019</v>
      </c>
      <c r="E181" s="216">
        <v>3447.49</v>
      </c>
      <c r="F181" s="216">
        <v>3140.84</v>
      </c>
      <c r="G181" s="216">
        <v>9</v>
      </c>
      <c r="H181" s="216" t="s">
        <v>527</v>
      </c>
      <c r="I181" s="216" t="s">
        <v>542</v>
      </c>
      <c r="J181" s="216">
        <v>1970</v>
      </c>
      <c r="K181" s="216">
        <v>54</v>
      </c>
      <c r="L181" s="213">
        <v>0</v>
      </c>
      <c r="M181" s="216">
        <v>54</v>
      </c>
      <c r="N181" s="213">
        <v>0</v>
      </c>
      <c r="O181" s="213" t="s">
        <v>514</v>
      </c>
      <c r="P181" s="213">
        <v>156916523</v>
      </c>
      <c r="Q181" s="213" t="s">
        <v>515</v>
      </c>
      <c r="R181" s="213" t="s">
        <v>516</v>
      </c>
    </row>
    <row r="182" spans="1:18" ht="24" x14ac:dyDescent="0.25">
      <c r="A182" s="212" t="s">
        <v>510</v>
      </c>
      <c r="B182" s="213">
        <v>181</v>
      </c>
      <c r="C182" s="214" t="s">
        <v>708</v>
      </c>
      <c r="D182" s="215">
        <v>469740028010</v>
      </c>
      <c r="E182" s="216">
        <v>2654.32</v>
      </c>
      <c r="F182" s="216">
        <v>2221.44</v>
      </c>
      <c r="G182" s="216">
        <v>5</v>
      </c>
      <c r="H182" s="216" t="s">
        <v>527</v>
      </c>
      <c r="I182" s="216" t="s">
        <v>542</v>
      </c>
      <c r="J182" s="216">
        <v>1974</v>
      </c>
      <c r="K182" s="216">
        <v>0</v>
      </c>
      <c r="L182" s="213">
        <v>0</v>
      </c>
      <c r="M182" s="216">
        <v>40</v>
      </c>
      <c r="N182" s="213">
        <v>0</v>
      </c>
      <c r="O182" s="213" t="s">
        <v>514</v>
      </c>
      <c r="P182" s="213">
        <v>156916523</v>
      </c>
      <c r="Q182" s="213" t="s">
        <v>515</v>
      </c>
      <c r="R182" s="213" t="s">
        <v>516</v>
      </c>
    </row>
    <row r="183" spans="1:18" ht="24" x14ac:dyDescent="0.25">
      <c r="A183" s="212" t="s">
        <v>510</v>
      </c>
      <c r="B183" s="213">
        <v>182</v>
      </c>
      <c r="C183" s="214" t="s">
        <v>709</v>
      </c>
      <c r="D183" s="215">
        <v>469350014015</v>
      </c>
      <c r="E183" s="216">
        <v>257.3</v>
      </c>
      <c r="F183" s="216">
        <v>257.3</v>
      </c>
      <c r="G183" s="216">
        <v>1</v>
      </c>
      <c r="H183" s="216" t="s">
        <v>611</v>
      </c>
      <c r="I183" s="216" t="s">
        <v>524</v>
      </c>
      <c r="J183" s="216">
        <v>1935</v>
      </c>
      <c r="K183" s="216">
        <v>6</v>
      </c>
      <c r="L183" s="213">
        <v>0</v>
      </c>
      <c r="M183" s="216">
        <v>6</v>
      </c>
      <c r="N183" s="213">
        <v>0</v>
      </c>
      <c r="O183" s="213" t="s">
        <v>514</v>
      </c>
      <c r="P183" s="213">
        <v>156916523</v>
      </c>
      <c r="Q183" s="213" t="s">
        <v>515</v>
      </c>
      <c r="R183" s="213" t="s">
        <v>516</v>
      </c>
    </row>
    <row r="184" spans="1:18" ht="24" x14ac:dyDescent="0.25">
      <c r="A184" s="212" t="s">
        <v>510</v>
      </c>
      <c r="B184" s="213">
        <v>183</v>
      </c>
      <c r="C184" s="214" t="s">
        <v>710</v>
      </c>
      <c r="D184" s="217">
        <v>469630017014</v>
      </c>
      <c r="E184" s="214">
        <v>3455.55</v>
      </c>
      <c r="F184" s="214">
        <v>2821.48</v>
      </c>
      <c r="G184" s="214">
        <v>5</v>
      </c>
      <c r="H184" s="214" t="s">
        <v>512</v>
      </c>
      <c r="I184" s="214" t="s">
        <v>513</v>
      </c>
      <c r="J184" s="214">
        <v>1963</v>
      </c>
      <c r="K184" s="214">
        <v>59</v>
      </c>
      <c r="L184" s="218">
        <v>1</v>
      </c>
      <c r="M184" s="214">
        <v>59</v>
      </c>
      <c r="N184" s="218">
        <v>1</v>
      </c>
      <c r="O184" s="213" t="s">
        <v>514</v>
      </c>
      <c r="P184" s="218">
        <v>156916523</v>
      </c>
      <c r="Q184" s="218" t="s">
        <v>515</v>
      </c>
      <c r="R184" s="218" t="s">
        <v>516</v>
      </c>
    </row>
    <row r="185" spans="1:18" ht="24" x14ac:dyDescent="0.25">
      <c r="A185" s="212" t="s">
        <v>510</v>
      </c>
      <c r="B185" s="213">
        <v>184</v>
      </c>
      <c r="C185" s="214" t="s">
        <v>711</v>
      </c>
      <c r="D185" s="217">
        <v>469630057016</v>
      </c>
      <c r="E185" s="214">
        <v>3479.91</v>
      </c>
      <c r="F185" s="214">
        <v>2871.73</v>
      </c>
      <c r="G185" s="214">
        <v>5</v>
      </c>
      <c r="H185" s="214" t="s">
        <v>518</v>
      </c>
      <c r="I185" s="214" t="s">
        <v>542</v>
      </c>
      <c r="J185" s="214">
        <v>1953</v>
      </c>
      <c r="K185" s="214">
        <v>59</v>
      </c>
      <c r="L185" s="218">
        <v>1</v>
      </c>
      <c r="M185" s="214">
        <v>59</v>
      </c>
      <c r="N185" s="218">
        <v>1</v>
      </c>
      <c r="O185" s="213" t="s">
        <v>514</v>
      </c>
      <c r="P185" s="218">
        <v>156916523</v>
      </c>
      <c r="Q185" s="218" t="s">
        <v>515</v>
      </c>
      <c r="R185" s="218" t="s">
        <v>516</v>
      </c>
    </row>
    <row r="186" spans="1:18" ht="24" x14ac:dyDescent="0.25">
      <c r="A186" s="212" t="s">
        <v>510</v>
      </c>
      <c r="B186" s="213">
        <v>185</v>
      </c>
      <c r="C186" s="214" t="s">
        <v>712</v>
      </c>
      <c r="D186" s="217">
        <v>469630018017</v>
      </c>
      <c r="E186" s="214">
        <v>3546.54</v>
      </c>
      <c r="F186" s="214">
        <v>2888.09</v>
      </c>
      <c r="G186" s="214">
        <v>5</v>
      </c>
      <c r="H186" s="214" t="s">
        <v>518</v>
      </c>
      <c r="I186" s="214" t="s">
        <v>542</v>
      </c>
      <c r="J186" s="214">
        <v>1963</v>
      </c>
      <c r="K186" s="214">
        <v>60</v>
      </c>
      <c r="L186" s="218">
        <v>0</v>
      </c>
      <c r="M186" s="214">
        <v>60</v>
      </c>
      <c r="N186" s="218">
        <v>0</v>
      </c>
      <c r="O186" s="213" t="s">
        <v>514</v>
      </c>
      <c r="P186" s="218">
        <v>156916523</v>
      </c>
      <c r="Q186" s="218" t="s">
        <v>515</v>
      </c>
      <c r="R186" s="218" t="s">
        <v>516</v>
      </c>
    </row>
    <row r="187" spans="1:18" ht="24" x14ac:dyDescent="0.25">
      <c r="A187" s="212" t="s">
        <v>510</v>
      </c>
      <c r="B187" s="213">
        <v>186</v>
      </c>
      <c r="C187" s="214" t="s">
        <v>713</v>
      </c>
      <c r="D187" s="217">
        <v>469630019014</v>
      </c>
      <c r="E187" s="214">
        <v>3599.78</v>
      </c>
      <c r="F187" s="214">
        <v>2797.22</v>
      </c>
      <c r="G187" s="214">
        <v>5</v>
      </c>
      <c r="H187" s="214" t="s">
        <v>518</v>
      </c>
      <c r="I187" s="214" t="s">
        <v>519</v>
      </c>
      <c r="J187" s="214">
        <v>1963</v>
      </c>
      <c r="K187" s="214">
        <v>58</v>
      </c>
      <c r="L187" s="218">
        <v>2</v>
      </c>
      <c r="M187" s="214">
        <v>58</v>
      </c>
      <c r="N187" s="218">
        <v>2</v>
      </c>
      <c r="O187" s="213" t="s">
        <v>514</v>
      </c>
      <c r="P187" s="218">
        <v>156916523</v>
      </c>
      <c r="Q187" s="218" t="s">
        <v>515</v>
      </c>
      <c r="R187" s="218" t="s">
        <v>516</v>
      </c>
    </row>
    <row r="188" spans="1:18" ht="24" x14ac:dyDescent="0.25">
      <c r="A188" s="212" t="s">
        <v>510</v>
      </c>
      <c r="B188" s="213">
        <v>187</v>
      </c>
      <c r="C188" s="214" t="s">
        <v>714</v>
      </c>
      <c r="D188" s="215">
        <v>469650023014</v>
      </c>
      <c r="E188" s="216">
        <v>3354.17</v>
      </c>
      <c r="F188" s="216">
        <v>2711.55</v>
      </c>
      <c r="G188" s="216">
        <v>5</v>
      </c>
      <c r="H188" s="216" t="s">
        <v>518</v>
      </c>
      <c r="I188" s="216" t="s">
        <v>542</v>
      </c>
      <c r="J188" s="216">
        <v>1965</v>
      </c>
      <c r="K188" s="216">
        <v>60</v>
      </c>
      <c r="L188" s="213">
        <v>0</v>
      </c>
      <c r="M188" s="216">
        <v>60</v>
      </c>
      <c r="N188" s="213">
        <v>0</v>
      </c>
      <c r="O188" s="213" t="s">
        <v>514</v>
      </c>
      <c r="P188" s="213">
        <v>156916523</v>
      </c>
      <c r="Q188" s="213" t="s">
        <v>515</v>
      </c>
      <c r="R188" s="213" t="s">
        <v>516</v>
      </c>
    </row>
    <row r="189" spans="1:18" ht="24" x14ac:dyDescent="0.25">
      <c r="A189" s="212" t="s">
        <v>510</v>
      </c>
      <c r="B189" s="213">
        <v>188</v>
      </c>
      <c r="C189" s="214" t="s">
        <v>715</v>
      </c>
      <c r="D189" s="215">
        <v>469740020010</v>
      </c>
      <c r="E189" s="216">
        <v>3298.14</v>
      </c>
      <c r="F189" s="216">
        <v>2754.89</v>
      </c>
      <c r="G189" s="216">
        <v>5</v>
      </c>
      <c r="H189" s="216" t="s">
        <v>512</v>
      </c>
      <c r="I189" s="216" t="s">
        <v>513</v>
      </c>
      <c r="J189" s="216">
        <v>1974</v>
      </c>
      <c r="K189" s="216">
        <v>60</v>
      </c>
      <c r="L189" s="213">
        <v>0</v>
      </c>
      <c r="M189" s="216">
        <v>60</v>
      </c>
      <c r="N189" s="213">
        <v>0</v>
      </c>
      <c r="O189" s="213" t="s">
        <v>514</v>
      </c>
      <c r="P189" s="213">
        <v>156916523</v>
      </c>
      <c r="Q189" s="213" t="s">
        <v>515</v>
      </c>
      <c r="R189" s="213" t="s">
        <v>516</v>
      </c>
    </row>
    <row r="190" spans="1:18" ht="24" x14ac:dyDescent="0.25">
      <c r="A190" s="212" t="s">
        <v>510</v>
      </c>
      <c r="B190" s="213">
        <v>189</v>
      </c>
      <c r="C190" s="214" t="s">
        <v>716</v>
      </c>
      <c r="D190" s="215">
        <v>469760021017</v>
      </c>
      <c r="E190" s="216">
        <v>4412.57</v>
      </c>
      <c r="F190" s="216">
        <v>3658.95</v>
      </c>
      <c r="G190" s="216">
        <v>5</v>
      </c>
      <c r="H190" s="216" t="s">
        <v>717</v>
      </c>
      <c r="I190" s="216" t="s">
        <v>519</v>
      </c>
      <c r="J190" s="216">
        <v>1976</v>
      </c>
      <c r="K190" s="216">
        <v>100</v>
      </c>
      <c r="L190" s="213">
        <v>0</v>
      </c>
      <c r="M190" s="216">
        <v>100</v>
      </c>
      <c r="N190" s="213">
        <v>0</v>
      </c>
      <c r="O190" s="213" t="s">
        <v>514</v>
      </c>
      <c r="P190" s="213">
        <v>156916523</v>
      </c>
      <c r="Q190" s="213" t="s">
        <v>515</v>
      </c>
      <c r="R190" s="213" t="s">
        <v>516</v>
      </c>
    </row>
    <row r="191" spans="1:18" ht="24" x14ac:dyDescent="0.25">
      <c r="A191" s="212" t="s">
        <v>510</v>
      </c>
      <c r="B191" s="213">
        <v>190</v>
      </c>
      <c r="C191" s="214" t="s">
        <v>718</v>
      </c>
      <c r="D191" s="215">
        <v>469780020018</v>
      </c>
      <c r="E191" s="216">
        <v>2806.79</v>
      </c>
      <c r="F191" s="216">
        <v>2335.73</v>
      </c>
      <c r="G191" s="216">
        <v>5</v>
      </c>
      <c r="H191" s="216" t="s">
        <v>512</v>
      </c>
      <c r="I191" s="216" t="s">
        <v>513</v>
      </c>
      <c r="J191" s="216">
        <v>1978</v>
      </c>
      <c r="K191" s="216">
        <v>45</v>
      </c>
      <c r="L191" s="213">
        <v>0</v>
      </c>
      <c r="M191" s="216">
        <v>45</v>
      </c>
      <c r="N191" s="213">
        <v>0</v>
      </c>
      <c r="O191" s="213" t="s">
        <v>514</v>
      </c>
      <c r="P191" s="213">
        <v>156916523</v>
      </c>
      <c r="Q191" s="213" t="s">
        <v>515</v>
      </c>
      <c r="R191" s="213" t="s">
        <v>516</v>
      </c>
    </row>
    <row r="192" spans="1:18" ht="24" x14ac:dyDescent="0.25">
      <c r="A192" s="212" t="s">
        <v>510</v>
      </c>
      <c r="B192" s="213">
        <v>191</v>
      </c>
      <c r="C192" s="214" t="s">
        <v>719</v>
      </c>
      <c r="D192" s="215">
        <v>469730016015</v>
      </c>
      <c r="E192" s="216">
        <v>4477.83</v>
      </c>
      <c r="F192" s="216">
        <v>3735</v>
      </c>
      <c r="G192" s="216">
        <v>5</v>
      </c>
      <c r="H192" s="216" t="s">
        <v>512</v>
      </c>
      <c r="I192" s="216" t="s">
        <v>513</v>
      </c>
      <c r="J192" s="216">
        <v>1973</v>
      </c>
      <c r="K192" s="216">
        <v>100</v>
      </c>
      <c r="L192" s="213">
        <v>0</v>
      </c>
      <c r="M192" s="216">
        <v>100</v>
      </c>
      <c r="N192" s="213">
        <v>0</v>
      </c>
      <c r="O192" s="213" t="s">
        <v>514</v>
      </c>
      <c r="P192" s="213">
        <v>156916523</v>
      </c>
      <c r="Q192" s="213" t="s">
        <v>515</v>
      </c>
      <c r="R192" s="213" t="s">
        <v>516</v>
      </c>
    </row>
    <row r="193" spans="1:18" ht="24" x14ac:dyDescent="0.25">
      <c r="A193" s="212" t="s">
        <v>510</v>
      </c>
      <c r="B193" s="213">
        <v>192</v>
      </c>
      <c r="C193" s="214" t="s">
        <v>720</v>
      </c>
      <c r="D193" s="215">
        <v>469660019017</v>
      </c>
      <c r="E193" s="216">
        <v>5255.3</v>
      </c>
      <c r="F193" s="216">
        <v>4392.8</v>
      </c>
      <c r="G193" s="216">
        <v>5</v>
      </c>
      <c r="H193" s="216" t="s">
        <v>512</v>
      </c>
      <c r="I193" s="216" t="s">
        <v>513</v>
      </c>
      <c r="J193" s="216">
        <v>1966</v>
      </c>
      <c r="K193" s="216">
        <v>100</v>
      </c>
      <c r="L193" s="213">
        <v>0</v>
      </c>
      <c r="M193" s="216">
        <v>100</v>
      </c>
      <c r="N193" s="213">
        <v>0</v>
      </c>
      <c r="O193" s="213" t="s">
        <v>514</v>
      </c>
      <c r="P193" s="213">
        <v>156916523</v>
      </c>
      <c r="Q193" s="213" t="s">
        <v>515</v>
      </c>
      <c r="R193" s="213" t="s">
        <v>516</v>
      </c>
    </row>
    <row r="194" spans="1:18" ht="24" x14ac:dyDescent="0.25">
      <c r="A194" s="212" t="s">
        <v>510</v>
      </c>
      <c r="B194" s="213">
        <v>193</v>
      </c>
      <c r="C194" s="214" t="s">
        <v>721</v>
      </c>
      <c r="D194" s="215">
        <v>469680020014</v>
      </c>
      <c r="E194" s="216">
        <v>3236.65</v>
      </c>
      <c r="F194" s="216">
        <v>2657.08</v>
      </c>
      <c r="G194" s="216">
        <v>5</v>
      </c>
      <c r="H194" s="216" t="s">
        <v>512</v>
      </c>
      <c r="I194" s="216" t="s">
        <v>513</v>
      </c>
      <c r="J194" s="216">
        <v>1968</v>
      </c>
      <c r="K194" s="216">
        <v>59</v>
      </c>
      <c r="L194" s="213">
        <v>1</v>
      </c>
      <c r="M194" s="216">
        <v>59</v>
      </c>
      <c r="N194" s="213">
        <v>1</v>
      </c>
      <c r="O194" s="213" t="s">
        <v>514</v>
      </c>
      <c r="P194" s="213">
        <v>156916523</v>
      </c>
      <c r="Q194" s="213" t="s">
        <v>515</v>
      </c>
      <c r="R194" s="213" t="s">
        <v>516</v>
      </c>
    </row>
    <row r="195" spans="1:18" ht="24" x14ac:dyDescent="0.25">
      <c r="A195" s="212" t="s">
        <v>510</v>
      </c>
      <c r="B195" s="213">
        <v>194</v>
      </c>
      <c r="C195" s="214" t="s">
        <v>722</v>
      </c>
      <c r="D195" s="215">
        <v>469780021015</v>
      </c>
      <c r="E195" s="216">
        <v>2801.31</v>
      </c>
      <c r="F195" s="216">
        <v>2336.5300000000002</v>
      </c>
      <c r="G195" s="216">
        <v>5</v>
      </c>
      <c r="H195" s="216" t="s">
        <v>512</v>
      </c>
      <c r="I195" s="216" t="s">
        <v>524</v>
      </c>
      <c r="J195" s="216">
        <v>1978</v>
      </c>
      <c r="K195" s="216">
        <v>45</v>
      </c>
      <c r="L195" s="213">
        <v>0</v>
      </c>
      <c r="M195" s="216">
        <v>45</v>
      </c>
      <c r="N195" s="213">
        <v>0</v>
      </c>
      <c r="O195" s="213" t="s">
        <v>514</v>
      </c>
      <c r="P195" s="213">
        <v>156916523</v>
      </c>
      <c r="Q195" s="213" t="s">
        <v>515</v>
      </c>
      <c r="R195" s="213" t="s">
        <v>516</v>
      </c>
    </row>
    <row r="196" spans="1:18" ht="24" x14ac:dyDescent="0.25">
      <c r="A196" s="212" t="s">
        <v>510</v>
      </c>
      <c r="B196" s="213">
        <v>195</v>
      </c>
      <c r="C196" s="214" t="s">
        <v>723</v>
      </c>
      <c r="D196" s="215">
        <v>469780022012</v>
      </c>
      <c r="E196" s="216">
        <v>2907.12</v>
      </c>
      <c r="F196" s="216">
        <v>2340.4899999999998</v>
      </c>
      <c r="G196" s="216">
        <v>5</v>
      </c>
      <c r="H196" s="216" t="s">
        <v>518</v>
      </c>
      <c r="I196" s="216" t="s">
        <v>542</v>
      </c>
      <c r="J196" s="216">
        <v>1978</v>
      </c>
      <c r="K196" s="216">
        <v>45</v>
      </c>
      <c r="L196" s="213">
        <v>0</v>
      </c>
      <c r="M196" s="216">
        <v>45</v>
      </c>
      <c r="N196" s="213">
        <v>0</v>
      </c>
      <c r="O196" s="213" t="s">
        <v>514</v>
      </c>
      <c r="P196" s="213">
        <v>156916523</v>
      </c>
      <c r="Q196" s="213" t="s">
        <v>515</v>
      </c>
      <c r="R196" s="213" t="s">
        <v>516</v>
      </c>
    </row>
    <row r="197" spans="1:18" ht="24" x14ac:dyDescent="0.25">
      <c r="A197" s="212" t="s">
        <v>510</v>
      </c>
      <c r="B197" s="213">
        <v>196</v>
      </c>
      <c r="C197" s="214" t="s">
        <v>724</v>
      </c>
      <c r="D197" s="215">
        <v>469770015014</v>
      </c>
      <c r="E197" s="216">
        <v>2892.46</v>
      </c>
      <c r="F197" s="216">
        <v>2328.87</v>
      </c>
      <c r="G197" s="216">
        <v>5</v>
      </c>
      <c r="H197" s="216" t="s">
        <v>518</v>
      </c>
      <c r="I197" s="216" t="s">
        <v>542</v>
      </c>
      <c r="J197" s="216">
        <v>1977</v>
      </c>
      <c r="K197" s="216">
        <v>45</v>
      </c>
      <c r="L197" s="213">
        <v>0</v>
      </c>
      <c r="M197" s="216">
        <v>45</v>
      </c>
      <c r="N197" s="213">
        <v>0</v>
      </c>
      <c r="O197" s="213" t="s">
        <v>514</v>
      </c>
      <c r="P197" s="213">
        <v>156916523</v>
      </c>
      <c r="Q197" s="213" t="s">
        <v>515</v>
      </c>
      <c r="R197" s="213" t="s">
        <v>516</v>
      </c>
    </row>
    <row r="198" spans="1:18" ht="24" x14ac:dyDescent="0.25">
      <c r="A198" s="212" t="s">
        <v>510</v>
      </c>
      <c r="B198" s="213">
        <v>197</v>
      </c>
      <c r="C198" s="214" t="s">
        <v>725</v>
      </c>
      <c r="D198" s="215">
        <v>469830012019</v>
      </c>
      <c r="E198" s="216">
        <v>2989.35</v>
      </c>
      <c r="F198" s="216">
        <v>2377.35</v>
      </c>
      <c r="G198" s="216">
        <v>6</v>
      </c>
      <c r="H198" s="216" t="s">
        <v>527</v>
      </c>
      <c r="I198" s="216" t="s">
        <v>542</v>
      </c>
      <c r="J198" s="216">
        <v>1983</v>
      </c>
      <c r="K198" s="216">
        <v>44</v>
      </c>
      <c r="L198" s="213">
        <v>0</v>
      </c>
      <c r="M198" s="216">
        <v>44</v>
      </c>
      <c r="N198" s="213">
        <v>0</v>
      </c>
      <c r="O198" s="213"/>
      <c r="P198" s="213">
        <v>156916523</v>
      </c>
      <c r="Q198" s="213" t="s">
        <v>515</v>
      </c>
      <c r="R198" s="213" t="s">
        <v>516</v>
      </c>
    </row>
    <row r="199" spans="1:18" ht="24" x14ac:dyDescent="0.25">
      <c r="A199" s="212" t="s">
        <v>510</v>
      </c>
      <c r="B199" s="213">
        <v>198</v>
      </c>
      <c r="C199" s="214" t="s">
        <v>726</v>
      </c>
      <c r="D199" s="215">
        <v>469730018010</v>
      </c>
      <c r="E199" s="216">
        <v>82.96</v>
      </c>
      <c r="F199" s="216">
        <v>82.96</v>
      </c>
      <c r="G199" s="216">
        <v>1</v>
      </c>
      <c r="H199" s="216" t="s">
        <v>527</v>
      </c>
      <c r="I199" s="216" t="s">
        <v>524</v>
      </c>
      <c r="J199" s="216">
        <v>1973</v>
      </c>
      <c r="K199" s="216">
        <v>2</v>
      </c>
      <c r="L199" s="213">
        <v>0</v>
      </c>
      <c r="M199" s="216">
        <v>0</v>
      </c>
      <c r="N199" s="213">
        <v>0</v>
      </c>
      <c r="O199" s="213"/>
      <c r="P199" s="213">
        <v>156916523</v>
      </c>
      <c r="Q199" s="213" t="s">
        <v>515</v>
      </c>
      <c r="R199" s="213" t="s">
        <v>516</v>
      </c>
    </row>
    <row r="200" spans="1:18" ht="24" x14ac:dyDescent="0.25">
      <c r="A200" s="222" t="s">
        <v>510</v>
      </c>
      <c r="B200" s="218">
        <v>199</v>
      </c>
      <c r="C200" s="214" t="s">
        <v>727</v>
      </c>
      <c r="D200" s="217">
        <v>469680007013</v>
      </c>
      <c r="E200" s="214">
        <v>1106.95</v>
      </c>
      <c r="F200" s="214">
        <v>504.11</v>
      </c>
      <c r="G200" s="214">
        <v>3</v>
      </c>
      <c r="H200" s="214" t="s">
        <v>550</v>
      </c>
      <c r="I200" s="214" t="s">
        <v>524</v>
      </c>
      <c r="J200" s="214">
        <v>1968</v>
      </c>
      <c r="K200" s="214">
        <v>15</v>
      </c>
      <c r="L200" s="218">
        <v>2</v>
      </c>
      <c r="M200" s="214">
        <v>15</v>
      </c>
      <c r="N200" s="218">
        <v>2</v>
      </c>
      <c r="O200" s="218"/>
      <c r="P200" s="218">
        <v>156916523</v>
      </c>
      <c r="Q200" s="218" t="s">
        <v>515</v>
      </c>
      <c r="R200" s="218" t="s">
        <v>516</v>
      </c>
    </row>
    <row r="201" spans="1:18" ht="24" x14ac:dyDescent="0.25">
      <c r="A201" s="212" t="s">
        <v>510</v>
      </c>
      <c r="B201" s="213">
        <v>200</v>
      </c>
      <c r="C201" s="214" t="s">
        <v>728</v>
      </c>
      <c r="D201" s="215">
        <v>469680022010</v>
      </c>
      <c r="E201" s="216">
        <v>3392.73</v>
      </c>
      <c r="F201" s="216">
        <v>2697.66</v>
      </c>
      <c r="G201" s="216">
        <v>5</v>
      </c>
      <c r="H201" s="216" t="s">
        <v>523</v>
      </c>
      <c r="I201" s="216" t="s">
        <v>542</v>
      </c>
      <c r="J201" s="216">
        <v>1968</v>
      </c>
      <c r="K201" s="216">
        <v>0</v>
      </c>
      <c r="L201" s="213">
        <v>0</v>
      </c>
      <c r="M201" s="216">
        <v>60</v>
      </c>
      <c r="N201" s="213">
        <v>0</v>
      </c>
      <c r="O201" s="213" t="s">
        <v>514</v>
      </c>
      <c r="P201" s="213">
        <v>156916523</v>
      </c>
      <c r="Q201" s="213" t="s">
        <v>515</v>
      </c>
      <c r="R201" s="213" t="s">
        <v>516</v>
      </c>
    </row>
    <row r="202" spans="1:18" ht="24" x14ac:dyDescent="0.25">
      <c r="A202" s="212" t="s">
        <v>510</v>
      </c>
      <c r="B202" s="213">
        <v>201</v>
      </c>
      <c r="C202" s="214" t="s">
        <v>729</v>
      </c>
      <c r="D202" s="217">
        <v>469800018010</v>
      </c>
      <c r="E202" s="214">
        <v>2798.89</v>
      </c>
      <c r="F202" s="214">
        <v>2333.0700000000002</v>
      </c>
      <c r="G202" s="214">
        <v>5</v>
      </c>
      <c r="H202" s="214" t="s">
        <v>512</v>
      </c>
      <c r="I202" s="214" t="s">
        <v>513</v>
      </c>
      <c r="J202" s="214">
        <v>1980</v>
      </c>
      <c r="K202" s="214">
        <v>45</v>
      </c>
      <c r="L202" s="218">
        <v>0</v>
      </c>
      <c r="M202" s="214">
        <v>45</v>
      </c>
      <c r="N202" s="218">
        <v>0</v>
      </c>
      <c r="O202" s="213" t="s">
        <v>514</v>
      </c>
      <c r="P202" s="218">
        <v>156916523</v>
      </c>
      <c r="Q202" s="218" t="s">
        <v>515</v>
      </c>
      <c r="R202" s="218" t="s">
        <v>516</v>
      </c>
    </row>
    <row r="203" spans="1:18" ht="24" x14ac:dyDescent="0.25">
      <c r="A203" s="212" t="s">
        <v>510</v>
      </c>
      <c r="B203" s="213">
        <v>202</v>
      </c>
      <c r="C203" s="214" t="s">
        <v>730</v>
      </c>
      <c r="D203" s="217">
        <v>469800019019</v>
      </c>
      <c r="E203" s="214">
        <v>2802.98</v>
      </c>
      <c r="F203" s="214">
        <v>2337.5700000000002</v>
      </c>
      <c r="G203" s="214">
        <v>5</v>
      </c>
      <c r="H203" s="214" t="s">
        <v>512</v>
      </c>
      <c r="I203" s="214" t="s">
        <v>601</v>
      </c>
      <c r="J203" s="214">
        <v>1980</v>
      </c>
      <c r="K203" s="214">
        <v>45</v>
      </c>
      <c r="L203" s="218">
        <v>0</v>
      </c>
      <c r="M203" s="214">
        <v>45</v>
      </c>
      <c r="N203" s="218">
        <v>0</v>
      </c>
      <c r="O203" s="213" t="s">
        <v>514</v>
      </c>
      <c r="P203" s="218">
        <v>156916523</v>
      </c>
      <c r="Q203" s="218" t="s">
        <v>515</v>
      </c>
      <c r="R203" s="218" t="s">
        <v>516</v>
      </c>
    </row>
    <row r="204" spans="1:18" ht="24" x14ac:dyDescent="0.25">
      <c r="A204" s="212" t="s">
        <v>510</v>
      </c>
      <c r="B204" s="213">
        <v>203</v>
      </c>
      <c r="C204" s="214" t="s">
        <v>731</v>
      </c>
      <c r="D204" s="217">
        <v>469840026010</v>
      </c>
      <c r="E204" s="214">
        <v>2682.26</v>
      </c>
      <c r="F204" s="214">
        <v>2229.13</v>
      </c>
      <c r="G204" s="214">
        <v>5</v>
      </c>
      <c r="H204" s="214" t="s">
        <v>527</v>
      </c>
      <c r="I204" s="214" t="s">
        <v>513</v>
      </c>
      <c r="J204" s="214">
        <v>1984</v>
      </c>
      <c r="K204" s="214">
        <v>40</v>
      </c>
      <c r="L204" s="218">
        <v>0</v>
      </c>
      <c r="M204" s="214">
        <v>40</v>
      </c>
      <c r="N204" s="218">
        <v>0</v>
      </c>
      <c r="O204" s="213" t="s">
        <v>514</v>
      </c>
      <c r="P204" s="218">
        <v>156916523</v>
      </c>
      <c r="Q204" s="218" t="s">
        <v>515</v>
      </c>
      <c r="R204" s="218" t="s">
        <v>516</v>
      </c>
    </row>
    <row r="205" spans="1:18" ht="24" x14ac:dyDescent="0.25">
      <c r="A205" s="212" t="s">
        <v>510</v>
      </c>
      <c r="B205" s="213">
        <v>204</v>
      </c>
      <c r="C205" s="214" t="s">
        <v>732</v>
      </c>
      <c r="D205" s="215">
        <v>469760025017</v>
      </c>
      <c r="E205" s="216">
        <v>2812.28</v>
      </c>
      <c r="F205" s="216">
        <v>2346.48</v>
      </c>
      <c r="G205" s="216">
        <v>5</v>
      </c>
      <c r="H205" s="216" t="s">
        <v>518</v>
      </c>
      <c r="I205" s="216" t="s">
        <v>513</v>
      </c>
      <c r="J205" s="216">
        <v>1976</v>
      </c>
      <c r="K205" s="216">
        <v>45</v>
      </c>
      <c r="L205" s="213">
        <v>0</v>
      </c>
      <c r="M205" s="216">
        <v>45</v>
      </c>
      <c r="N205" s="213">
        <v>0</v>
      </c>
      <c r="O205" s="213" t="s">
        <v>514</v>
      </c>
      <c r="P205" s="213">
        <v>156916523</v>
      </c>
      <c r="Q205" s="213" t="s">
        <v>515</v>
      </c>
      <c r="R205" s="213" t="s">
        <v>516</v>
      </c>
    </row>
    <row r="206" spans="1:18" ht="24" x14ac:dyDescent="0.25">
      <c r="A206" s="212" t="s">
        <v>510</v>
      </c>
      <c r="B206" s="213">
        <v>205</v>
      </c>
      <c r="C206" s="214" t="s">
        <v>733</v>
      </c>
      <c r="D206" s="215">
        <v>469760026014</v>
      </c>
      <c r="E206" s="216">
        <v>2791.82</v>
      </c>
      <c r="F206" s="216">
        <v>2328.9499999999998</v>
      </c>
      <c r="G206" s="216">
        <v>5</v>
      </c>
      <c r="H206" s="216" t="s">
        <v>523</v>
      </c>
      <c r="I206" s="216" t="s">
        <v>513</v>
      </c>
      <c r="J206" s="216">
        <v>1976</v>
      </c>
      <c r="K206" s="216">
        <v>45</v>
      </c>
      <c r="L206" s="213">
        <v>0</v>
      </c>
      <c r="M206" s="216">
        <v>45</v>
      </c>
      <c r="N206" s="213">
        <v>0</v>
      </c>
      <c r="O206" s="213" t="s">
        <v>514</v>
      </c>
      <c r="P206" s="213">
        <v>156916523</v>
      </c>
      <c r="Q206" s="213" t="s">
        <v>515</v>
      </c>
      <c r="R206" s="213" t="s">
        <v>516</v>
      </c>
    </row>
    <row r="207" spans="1:18" ht="24" x14ac:dyDescent="0.25">
      <c r="A207" s="212" t="s">
        <v>510</v>
      </c>
      <c r="B207" s="213">
        <v>206</v>
      </c>
      <c r="C207" s="214" t="s">
        <v>734</v>
      </c>
      <c r="D207" s="215">
        <v>469760027011</v>
      </c>
      <c r="E207" s="216">
        <v>2787.92</v>
      </c>
      <c r="F207" s="216">
        <v>2326.9299999999998</v>
      </c>
      <c r="G207" s="216">
        <v>5</v>
      </c>
      <c r="H207" s="216" t="s">
        <v>518</v>
      </c>
      <c r="I207" s="216" t="s">
        <v>542</v>
      </c>
      <c r="J207" s="216">
        <v>1976</v>
      </c>
      <c r="K207" s="216">
        <v>0</v>
      </c>
      <c r="L207" s="213">
        <v>0</v>
      </c>
      <c r="M207" s="216">
        <v>45</v>
      </c>
      <c r="N207" s="213">
        <v>0</v>
      </c>
      <c r="O207" s="213" t="s">
        <v>514</v>
      </c>
      <c r="P207" s="213">
        <v>156916523</v>
      </c>
      <c r="Q207" s="213" t="s">
        <v>515</v>
      </c>
      <c r="R207" s="213" t="s">
        <v>516</v>
      </c>
    </row>
    <row r="208" spans="1:18" ht="24" x14ac:dyDescent="0.25">
      <c r="A208" s="212" t="s">
        <v>510</v>
      </c>
      <c r="B208" s="213">
        <v>207</v>
      </c>
      <c r="C208" s="214" t="s">
        <v>735</v>
      </c>
      <c r="D208" s="215">
        <v>469770020013</v>
      </c>
      <c r="E208" s="216">
        <v>2789.37</v>
      </c>
      <c r="F208" s="216">
        <v>2330.39</v>
      </c>
      <c r="G208" s="216">
        <v>5</v>
      </c>
      <c r="H208" s="216" t="s">
        <v>512</v>
      </c>
      <c r="I208" s="216" t="s">
        <v>513</v>
      </c>
      <c r="J208" s="216">
        <v>1977</v>
      </c>
      <c r="K208" s="216">
        <v>45</v>
      </c>
      <c r="L208" s="213">
        <v>0</v>
      </c>
      <c r="M208" s="216">
        <v>45</v>
      </c>
      <c r="N208" s="213">
        <v>0</v>
      </c>
      <c r="O208" s="213" t="s">
        <v>514</v>
      </c>
      <c r="P208" s="213">
        <v>156916523</v>
      </c>
      <c r="Q208" s="213" t="s">
        <v>515</v>
      </c>
      <c r="R208" s="213" t="s">
        <v>516</v>
      </c>
    </row>
    <row r="209" spans="1:18" ht="24" x14ac:dyDescent="0.25">
      <c r="A209" s="212" t="s">
        <v>510</v>
      </c>
      <c r="B209" s="213">
        <v>208</v>
      </c>
      <c r="C209" s="214" t="s">
        <v>736</v>
      </c>
      <c r="D209" s="215">
        <v>469840027017</v>
      </c>
      <c r="E209" s="216">
        <v>2438.19</v>
      </c>
      <c r="F209" s="216">
        <v>1924.6</v>
      </c>
      <c r="G209" s="216">
        <v>5</v>
      </c>
      <c r="H209" s="216" t="s">
        <v>527</v>
      </c>
      <c r="I209" s="216" t="s">
        <v>519</v>
      </c>
      <c r="J209" s="216">
        <v>1984</v>
      </c>
      <c r="K209" s="216">
        <v>1</v>
      </c>
      <c r="L209" s="213">
        <v>0</v>
      </c>
      <c r="M209" s="216">
        <v>36</v>
      </c>
      <c r="N209" s="213">
        <v>0</v>
      </c>
      <c r="O209" s="213" t="s">
        <v>514</v>
      </c>
      <c r="P209" s="213">
        <v>156916523</v>
      </c>
      <c r="Q209" s="213" t="s">
        <v>515</v>
      </c>
      <c r="R209" s="213" t="s">
        <v>516</v>
      </c>
    </row>
    <row r="210" spans="1:18" ht="24" x14ac:dyDescent="0.25">
      <c r="A210" s="212" t="s">
        <v>510</v>
      </c>
      <c r="B210" s="213">
        <v>209</v>
      </c>
      <c r="C210" s="214" t="s">
        <v>737</v>
      </c>
      <c r="D210" s="215">
        <v>469840028014</v>
      </c>
      <c r="E210" s="216">
        <v>2957.87</v>
      </c>
      <c r="F210" s="216">
        <v>2465.09</v>
      </c>
      <c r="G210" s="216">
        <v>6</v>
      </c>
      <c r="H210" s="216" t="s">
        <v>527</v>
      </c>
      <c r="I210" s="216" t="s">
        <v>519</v>
      </c>
      <c r="J210" s="216">
        <v>1984</v>
      </c>
      <c r="K210" s="216">
        <v>44</v>
      </c>
      <c r="L210" s="213">
        <v>0</v>
      </c>
      <c r="M210" s="216">
        <v>44</v>
      </c>
      <c r="N210" s="213">
        <v>0</v>
      </c>
      <c r="O210" s="213" t="s">
        <v>514</v>
      </c>
      <c r="P210" s="213">
        <v>156916523</v>
      </c>
      <c r="Q210" s="213" t="s">
        <v>515</v>
      </c>
      <c r="R210" s="213" t="s">
        <v>516</v>
      </c>
    </row>
    <row r="211" spans="1:18" ht="24" x14ac:dyDescent="0.25">
      <c r="A211" s="212" t="s">
        <v>510</v>
      </c>
      <c r="B211" s="213">
        <v>210</v>
      </c>
      <c r="C211" s="214" t="s">
        <v>738</v>
      </c>
      <c r="D211" s="215">
        <v>469780023016</v>
      </c>
      <c r="E211" s="216">
        <v>2796.65</v>
      </c>
      <c r="F211" s="216">
        <v>2329.9299999999998</v>
      </c>
      <c r="G211" s="216">
        <v>5</v>
      </c>
      <c r="H211" s="216" t="s">
        <v>512</v>
      </c>
      <c r="I211" s="216" t="s">
        <v>513</v>
      </c>
      <c r="J211" s="216">
        <v>1978</v>
      </c>
      <c r="K211" s="216">
        <v>45</v>
      </c>
      <c r="L211" s="213">
        <v>0</v>
      </c>
      <c r="M211" s="216">
        <v>45</v>
      </c>
      <c r="N211" s="213">
        <v>0</v>
      </c>
      <c r="O211" s="213" t="s">
        <v>514</v>
      </c>
      <c r="P211" s="213">
        <v>156916523</v>
      </c>
      <c r="Q211" s="213" t="s">
        <v>515</v>
      </c>
      <c r="R211" s="213" t="s">
        <v>516</v>
      </c>
    </row>
    <row r="212" spans="1:18" ht="24" x14ac:dyDescent="0.25">
      <c r="A212" s="212" t="s">
        <v>510</v>
      </c>
      <c r="B212" s="213">
        <v>211</v>
      </c>
      <c r="C212" s="214" t="s">
        <v>739</v>
      </c>
      <c r="D212" s="215">
        <v>469780024018</v>
      </c>
      <c r="E212" s="216">
        <v>2819.63</v>
      </c>
      <c r="F212" s="216">
        <v>2327.64</v>
      </c>
      <c r="G212" s="216">
        <v>5</v>
      </c>
      <c r="H212" s="216" t="s">
        <v>512</v>
      </c>
      <c r="I212" s="216" t="s">
        <v>513</v>
      </c>
      <c r="J212" s="216">
        <v>1978</v>
      </c>
      <c r="K212" s="216">
        <v>45</v>
      </c>
      <c r="L212" s="213">
        <v>0</v>
      </c>
      <c r="M212" s="216">
        <v>45</v>
      </c>
      <c r="N212" s="213">
        <v>0</v>
      </c>
      <c r="O212" s="213" t="s">
        <v>514</v>
      </c>
      <c r="P212" s="213">
        <v>156916523</v>
      </c>
      <c r="Q212" s="213" t="s">
        <v>515</v>
      </c>
      <c r="R212" s="213" t="s">
        <v>516</v>
      </c>
    </row>
    <row r="213" spans="1:18" ht="24" x14ac:dyDescent="0.25">
      <c r="A213" s="212" t="s">
        <v>510</v>
      </c>
      <c r="B213" s="213">
        <v>212</v>
      </c>
      <c r="C213" s="214" t="s">
        <v>740</v>
      </c>
      <c r="D213" s="215">
        <v>469650028011</v>
      </c>
      <c r="E213" s="216">
        <v>194.97</v>
      </c>
      <c r="F213" s="216">
        <v>182.25</v>
      </c>
      <c r="G213" s="216">
        <v>2</v>
      </c>
      <c r="H213" s="216" t="s">
        <v>550</v>
      </c>
      <c r="I213" s="216" t="s">
        <v>524</v>
      </c>
      <c r="J213" s="216">
        <v>1965</v>
      </c>
      <c r="K213" s="216">
        <v>6</v>
      </c>
      <c r="L213" s="213">
        <v>0</v>
      </c>
      <c r="M213" s="216">
        <v>6</v>
      </c>
      <c r="N213" s="213">
        <v>0</v>
      </c>
      <c r="O213" s="213" t="s">
        <v>514</v>
      </c>
      <c r="P213" s="213">
        <v>156916523</v>
      </c>
      <c r="Q213" s="213" t="s">
        <v>515</v>
      </c>
      <c r="R213" s="213" t="s">
        <v>516</v>
      </c>
    </row>
    <row r="214" spans="1:18" ht="24" x14ac:dyDescent="0.25">
      <c r="A214" s="212" t="s">
        <v>510</v>
      </c>
      <c r="B214" s="213">
        <v>213</v>
      </c>
      <c r="C214" s="214" t="s">
        <v>741</v>
      </c>
      <c r="D214" s="215">
        <v>469710031012</v>
      </c>
      <c r="E214" s="216">
        <v>2283.42</v>
      </c>
      <c r="F214" s="216">
        <v>1878.65</v>
      </c>
      <c r="G214" s="216">
        <v>5</v>
      </c>
      <c r="H214" s="216" t="s">
        <v>527</v>
      </c>
      <c r="I214" s="216" t="s">
        <v>542</v>
      </c>
      <c r="J214" s="216">
        <v>1969</v>
      </c>
      <c r="K214" s="216">
        <v>45</v>
      </c>
      <c r="L214" s="213">
        <v>0</v>
      </c>
      <c r="M214" s="216">
        <v>45</v>
      </c>
      <c r="N214" s="213">
        <v>0</v>
      </c>
      <c r="O214" s="213" t="s">
        <v>514</v>
      </c>
      <c r="P214" s="213">
        <v>156916523</v>
      </c>
      <c r="Q214" s="213" t="s">
        <v>515</v>
      </c>
      <c r="R214" s="213" t="s">
        <v>516</v>
      </c>
    </row>
    <row r="215" spans="1:18" ht="24" x14ac:dyDescent="0.25">
      <c r="A215" s="212" t="s">
        <v>510</v>
      </c>
      <c r="B215" s="213">
        <v>214</v>
      </c>
      <c r="C215" s="214" t="s">
        <v>742</v>
      </c>
      <c r="D215" s="217">
        <v>469820012014</v>
      </c>
      <c r="E215" s="214">
        <v>2788.4</v>
      </c>
      <c r="F215" s="214">
        <v>2332.1999999999998</v>
      </c>
      <c r="G215" s="214">
        <v>5</v>
      </c>
      <c r="H215" s="214" t="s">
        <v>512</v>
      </c>
      <c r="I215" s="214" t="s">
        <v>524</v>
      </c>
      <c r="J215" s="214">
        <v>1982</v>
      </c>
      <c r="K215" s="214">
        <v>45</v>
      </c>
      <c r="L215" s="218">
        <v>0</v>
      </c>
      <c r="M215" s="214">
        <v>45</v>
      </c>
      <c r="N215" s="218">
        <v>0</v>
      </c>
      <c r="O215" s="213" t="s">
        <v>514</v>
      </c>
      <c r="P215" s="218">
        <v>156916523</v>
      </c>
      <c r="Q215" s="218" t="s">
        <v>515</v>
      </c>
      <c r="R215" s="218" t="s">
        <v>516</v>
      </c>
    </row>
    <row r="216" spans="1:18" ht="24" x14ac:dyDescent="0.25">
      <c r="A216" s="212" t="s">
        <v>510</v>
      </c>
      <c r="B216" s="213">
        <v>215</v>
      </c>
      <c r="C216" s="214" t="s">
        <v>743</v>
      </c>
      <c r="D216" s="217">
        <v>469820013011</v>
      </c>
      <c r="E216" s="214">
        <v>2786.49</v>
      </c>
      <c r="F216" s="214">
        <v>2313.5</v>
      </c>
      <c r="G216" s="214">
        <v>5</v>
      </c>
      <c r="H216" s="214" t="s">
        <v>512</v>
      </c>
      <c r="I216" s="214" t="s">
        <v>513</v>
      </c>
      <c r="J216" s="214">
        <v>1982</v>
      </c>
      <c r="K216" s="214">
        <v>45</v>
      </c>
      <c r="L216" s="218">
        <v>0</v>
      </c>
      <c r="M216" s="214">
        <v>45</v>
      </c>
      <c r="N216" s="218">
        <v>0</v>
      </c>
      <c r="O216" s="213" t="s">
        <v>514</v>
      </c>
      <c r="P216" s="218">
        <v>156916523</v>
      </c>
      <c r="Q216" s="218" t="s">
        <v>515</v>
      </c>
      <c r="R216" s="218" t="s">
        <v>516</v>
      </c>
    </row>
    <row r="217" spans="1:18" ht="24" x14ac:dyDescent="0.25">
      <c r="A217" s="212" t="s">
        <v>510</v>
      </c>
      <c r="B217" s="213">
        <v>216</v>
      </c>
      <c r="C217" s="214" t="s">
        <v>744</v>
      </c>
      <c r="D217" s="217">
        <v>469800020018</v>
      </c>
      <c r="E217" s="214">
        <v>2786.83</v>
      </c>
      <c r="F217" s="214">
        <v>2328.2199999999998</v>
      </c>
      <c r="G217" s="214">
        <v>5</v>
      </c>
      <c r="H217" s="214" t="s">
        <v>512</v>
      </c>
      <c r="I217" s="214" t="s">
        <v>513</v>
      </c>
      <c r="J217" s="214">
        <v>1980</v>
      </c>
      <c r="K217" s="214">
        <v>45</v>
      </c>
      <c r="L217" s="218">
        <v>0</v>
      </c>
      <c r="M217" s="214">
        <v>45</v>
      </c>
      <c r="N217" s="218">
        <v>0</v>
      </c>
      <c r="O217" s="213" t="s">
        <v>514</v>
      </c>
      <c r="P217" s="218">
        <v>156916523</v>
      </c>
      <c r="Q217" s="218" t="s">
        <v>515</v>
      </c>
      <c r="R217" s="218" t="s">
        <v>516</v>
      </c>
    </row>
    <row r="218" spans="1:18" ht="24" x14ac:dyDescent="0.25">
      <c r="A218" s="212" t="s">
        <v>510</v>
      </c>
      <c r="B218" s="213">
        <v>217</v>
      </c>
      <c r="C218" s="214" t="s">
        <v>745</v>
      </c>
      <c r="D218" s="217">
        <v>469830018013</v>
      </c>
      <c r="E218" s="214">
        <v>1270.4000000000001</v>
      </c>
      <c r="F218" s="214">
        <v>980.91</v>
      </c>
      <c r="G218" s="214">
        <v>4</v>
      </c>
      <c r="H218" s="214" t="s">
        <v>527</v>
      </c>
      <c r="I218" s="214" t="s">
        <v>513</v>
      </c>
      <c r="J218" s="214">
        <v>1983</v>
      </c>
      <c r="K218" s="214">
        <v>18</v>
      </c>
      <c r="L218" s="218">
        <v>0</v>
      </c>
      <c r="M218" s="214">
        <v>18</v>
      </c>
      <c r="N218" s="218">
        <v>0</v>
      </c>
      <c r="O218" s="213" t="s">
        <v>514</v>
      </c>
      <c r="P218" s="218">
        <v>156916523</v>
      </c>
      <c r="Q218" s="218" t="s">
        <v>515</v>
      </c>
      <c r="R218" s="218" t="s">
        <v>516</v>
      </c>
    </row>
    <row r="219" spans="1:18" ht="24" x14ac:dyDescent="0.25">
      <c r="A219" s="212" t="s">
        <v>510</v>
      </c>
      <c r="B219" s="213">
        <v>218</v>
      </c>
      <c r="C219" s="214" t="s">
        <v>746</v>
      </c>
      <c r="D219" s="217">
        <v>469780025015</v>
      </c>
      <c r="E219" s="214">
        <v>4468.82</v>
      </c>
      <c r="F219" s="214">
        <v>3411.57</v>
      </c>
      <c r="G219" s="214">
        <v>5</v>
      </c>
      <c r="H219" s="214" t="s">
        <v>527</v>
      </c>
      <c r="I219" s="214" t="s">
        <v>542</v>
      </c>
      <c r="J219" s="214">
        <v>1974</v>
      </c>
      <c r="K219" s="214">
        <v>60</v>
      </c>
      <c r="L219" s="218">
        <v>0</v>
      </c>
      <c r="M219" s="214">
        <v>59</v>
      </c>
      <c r="N219" s="218">
        <v>0</v>
      </c>
      <c r="O219" s="213" t="s">
        <v>514</v>
      </c>
      <c r="P219" s="218">
        <v>156916523</v>
      </c>
      <c r="Q219" s="218" t="s">
        <v>515</v>
      </c>
      <c r="R219" s="218" t="s">
        <v>516</v>
      </c>
    </row>
    <row r="220" spans="1:18" ht="24" x14ac:dyDescent="0.25">
      <c r="A220" s="212" t="s">
        <v>510</v>
      </c>
      <c r="B220" s="213">
        <v>219</v>
      </c>
      <c r="C220" s="214" t="s">
        <v>747</v>
      </c>
      <c r="D220" s="217">
        <v>469680006016</v>
      </c>
      <c r="E220" s="214">
        <v>3246.75</v>
      </c>
      <c r="F220" s="214">
        <v>2700.93</v>
      </c>
      <c r="G220" s="214">
        <v>5</v>
      </c>
      <c r="H220" s="214" t="s">
        <v>512</v>
      </c>
      <c r="I220" s="214" t="s">
        <v>513</v>
      </c>
      <c r="J220" s="214">
        <v>1968</v>
      </c>
      <c r="K220" s="214">
        <v>60</v>
      </c>
      <c r="L220" s="218">
        <v>0</v>
      </c>
      <c r="M220" s="214">
        <v>60</v>
      </c>
      <c r="N220" s="218">
        <v>0</v>
      </c>
      <c r="O220" s="213" t="s">
        <v>514</v>
      </c>
      <c r="P220" s="218">
        <v>156916523</v>
      </c>
      <c r="Q220" s="218" t="s">
        <v>515</v>
      </c>
      <c r="R220" s="218" t="s">
        <v>516</v>
      </c>
    </row>
    <row r="221" spans="1:18" ht="24" x14ac:dyDescent="0.25">
      <c r="A221" s="212" t="s">
        <v>510</v>
      </c>
      <c r="B221" s="213">
        <v>220</v>
      </c>
      <c r="C221" s="214" t="s">
        <v>748</v>
      </c>
      <c r="D221" s="217">
        <v>469670027012</v>
      </c>
      <c r="E221" s="214">
        <v>1336.72</v>
      </c>
      <c r="F221" s="214">
        <v>1012.66</v>
      </c>
      <c r="G221" s="214">
        <v>4</v>
      </c>
      <c r="H221" s="214" t="s">
        <v>527</v>
      </c>
      <c r="I221" s="214" t="s">
        <v>542</v>
      </c>
      <c r="J221" s="214">
        <v>1967</v>
      </c>
      <c r="K221" s="214">
        <v>21</v>
      </c>
      <c r="L221" s="218">
        <v>0</v>
      </c>
      <c r="M221" s="214">
        <v>21</v>
      </c>
      <c r="N221" s="218">
        <v>0</v>
      </c>
      <c r="O221" s="213" t="s">
        <v>514</v>
      </c>
      <c r="P221" s="218">
        <v>156916523</v>
      </c>
      <c r="Q221" s="218" t="s">
        <v>515</v>
      </c>
      <c r="R221" s="218" t="s">
        <v>516</v>
      </c>
    </row>
    <row r="222" spans="1:18" ht="24" x14ac:dyDescent="0.25">
      <c r="A222" s="212" t="s">
        <v>510</v>
      </c>
      <c r="B222" s="213">
        <v>221</v>
      </c>
      <c r="C222" s="214" t="s">
        <v>749</v>
      </c>
      <c r="D222" s="217">
        <v>469690028019</v>
      </c>
      <c r="E222" s="214">
        <v>2874.84</v>
      </c>
      <c r="F222" s="214">
        <v>2605.14</v>
      </c>
      <c r="G222" s="214">
        <v>5</v>
      </c>
      <c r="H222" s="214" t="s">
        <v>527</v>
      </c>
      <c r="I222" s="214" t="s">
        <v>519</v>
      </c>
      <c r="J222" s="214">
        <v>1969</v>
      </c>
      <c r="K222" s="214">
        <v>0</v>
      </c>
      <c r="L222" s="218">
        <v>0</v>
      </c>
      <c r="M222" s="214">
        <v>50</v>
      </c>
      <c r="N222" s="218">
        <v>0</v>
      </c>
      <c r="O222" s="213" t="s">
        <v>514</v>
      </c>
      <c r="P222" s="218">
        <v>156916523</v>
      </c>
      <c r="Q222" s="218" t="s">
        <v>515</v>
      </c>
      <c r="R222" s="218" t="s">
        <v>516</v>
      </c>
    </row>
    <row r="223" spans="1:18" ht="24" x14ac:dyDescent="0.25">
      <c r="A223" s="212" t="s">
        <v>510</v>
      </c>
      <c r="B223" s="213">
        <v>222</v>
      </c>
      <c r="C223" s="214" t="s">
        <v>750</v>
      </c>
      <c r="D223" s="215">
        <v>469670071010</v>
      </c>
      <c r="E223" s="216">
        <v>2597.4</v>
      </c>
      <c r="F223" s="216">
        <v>2597.4</v>
      </c>
      <c r="G223" s="216">
        <v>5</v>
      </c>
      <c r="H223" s="216" t="s">
        <v>550</v>
      </c>
      <c r="I223" s="216" t="s">
        <v>524</v>
      </c>
      <c r="J223" s="216">
        <v>1967</v>
      </c>
      <c r="K223" s="216">
        <v>50</v>
      </c>
      <c r="L223" s="213">
        <v>0</v>
      </c>
      <c r="M223" s="216">
        <v>50</v>
      </c>
      <c r="N223" s="213">
        <v>0</v>
      </c>
      <c r="O223" s="213" t="s">
        <v>514</v>
      </c>
      <c r="P223" s="213">
        <v>156916523</v>
      </c>
      <c r="Q223" s="213" t="s">
        <v>515</v>
      </c>
      <c r="R223" s="213" t="s">
        <v>516</v>
      </c>
    </row>
    <row r="224" spans="1:18" ht="24" x14ac:dyDescent="0.25">
      <c r="A224" s="212" t="s">
        <v>510</v>
      </c>
      <c r="B224" s="213">
        <v>223</v>
      </c>
      <c r="C224" s="214" t="s">
        <v>751</v>
      </c>
      <c r="D224" s="215">
        <v>469670028010</v>
      </c>
      <c r="E224" s="216">
        <v>3240.47</v>
      </c>
      <c r="F224" s="216">
        <v>2701.09</v>
      </c>
      <c r="G224" s="216">
        <v>5</v>
      </c>
      <c r="H224" s="216" t="s">
        <v>512</v>
      </c>
      <c r="I224" s="216" t="s">
        <v>513</v>
      </c>
      <c r="J224" s="216">
        <v>1967</v>
      </c>
      <c r="K224" s="216">
        <v>60</v>
      </c>
      <c r="L224" s="213">
        <v>0</v>
      </c>
      <c r="M224" s="216">
        <v>60</v>
      </c>
      <c r="N224" s="213">
        <v>0</v>
      </c>
      <c r="O224" s="213" t="s">
        <v>514</v>
      </c>
      <c r="P224" s="213">
        <v>156916523</v>
      </c>
      <c r="Q224" s="213" t="s">
        <v>515</v>
      </c>
      <c r="R224" s="213" t="s">
        <v>516</v>
      </c>
    </row>
    <row r="225" spans="1:18" ht="24" x14ac:dyDescent="0.25">
      <c r="A225" s="212" t="s">
        <v>510</v>
      </c>
      <c r="B225" s="213">
        <v>224</v>
      </c>
      <c r="C225" s="214" t="s">
        <v>752</v>
      </c>
      <c r="D225" s="215">
        <v>469610048019</v>
      </c>
      <c r="E225" s="216">
        <v>414.15</v>
      </c>
      <c r="F225" s="216">
        <v>228.72</v>
      </c>
      <c r="G225" s="216">
        <v>2</v>
      </c>
      <c r="H225" s="216" t="s">
        <v>527</v>
      </c>
      <c r="I225" s="216" t="s">
        <v>617</v>
      </c>
      <c r="J225" s="216">
        <v>1961</v>
      </c>
      <c r="K225" s="216">
        <v>4</v>
      </c>
      <c r="L225" s="213">
        <v>3</v>
      </c>
      <c r="M225" s="216">
        <v>4</v>
      </c>
      <c r="N225" s="213">
        <v>3</v>
      </c>
      <c r="O225" s="213" t="s">
        <v>514</v>
      </c>
      <c r="P225" s="213">
        <v>156916523</v>
      </c>
      <c r="Q225" s="213" t="s">
        <v>515</v>
      </c>
      <c r="R225" s="213" t="s">
        <v>516</v>
      </c>
    </row>
    <row r="226" spans="1:18" ht="24" x14ac:dyDescent="0.25">
      <c r="A226" s="212" t="s">
        <v>510</v>
      </c>
      <c r="B226" s="213">
        <v>225</v>
      </c>
      <c r="C226" s="214" t="s">
        <v>753</v>
      </c>
      <c r="D226" s="215">
        <v>469860115018</v>
      </c>
      <c r="E226" s="216">
        <v>536.05999999999995</v>
      </c>
      <c r="F226" s="216">
        <v>464.58</v>
      </c>
      <c r="G226" s="216">
        <v>3</v>
      </c>
      <c r="H226" s="216" t="s">
        <v>527</v>
      </c>
      <c r="I226" s="216" t="s">
        <v>513</v>
      </c>
      <c r="J226" s="216">
        <v>1986</v>
      </c>
      <c r="K226" s="216">
        <v>8</v>
      </c>
      <c r="L226" s="213">
        <v>0</v>
      </c>
      <c r="M226" s="216">
        <v>8</v>
      </c>
      <c r="N226" s="213">
        <v>0</v>
      </c>
      <c r="O226" s="213" t="s">
        <v>514</v>
      </c>
      <c r="P226" s="213">
        <v>156916523</v>
      </c>
      <c r="Q226" s="213" t="s">
        <v>515</v>
      </c>
      <c r="R226" s="213" t="s">
        <v>516</v>
      </c>
    </row>
    <row r="227" spans="1:18" ht="24" x14ac:dyDescent="0.25">
      <c r="A227" s="212" t="s">
        <v>510</v>
      </c>
      <c r="B227" s="213">
        <v>226</v>
      </c>
      <c r="C227" s="214" t="s">
        <v>754</v>
      </c>
      <c r="D227" s="215">
        <v>469580025019</v>
      </c>
      <c r="E227" s="216">
        <v>629.87</v>
      </c>
      <c r="F227" s="216">
        <v>308.87</v>
      </c>
      <c r="G227" s="216">
        <v>2</v>
      </c>
      <c r="H227" s="216" t="s">
        <v>527</v>
      </c>
      <c r="I227" s="216" t="s">
        <v>524</v>
      </c>
      <c r="J227" s="216">
        <v>1959</v>
      </c>
      <c r="K227" s="216">
        <v>4</v>
      </c>
      <c r="L227" s="213">
        <v>48</v>
      </c>
      <c r="M227" s="216">
        <v>4</v>
      </c>
      <c r="N227" s="213">
        <v>3</v>
      </c>
      <c r="O227" s="213" t="s">
        <v>514</v>
      </c>
      <c r="P227" s="213">
        <v>156916523</v>
      </c>
      <c r="Q227" s="213" t="s">
        <v>515</v>
      </c>
      <c r="R227" s="213" t="s">
        <v>516</v>
      </c>
    </row>
    <row r="228" spans="1:18" ht="24" x14ac:dyDescent="0.25">
      <c r="A228" s="212" t="s">
        <v>510</v>
      </c>
      <c r="B228" s="213">
        <v>227</v>
      </c>
      <c r="C228" s="214" t="s">
        <v>755</v>
      </c>
      <c r="D228" s="217">
        <v>469770021010</v>
      </c>
      <c r="E228" s="214">
        <v>3324.4</v>
      </c>
      <c r="F228" s="214">
        <v>2998.07</v>
      </c>
      <c r="G228" s="214">
        <v>9</v>
      </c>
      <c r="H228" s="214" t="s">
        <v>518</v>
      </c>
      <c r="I228" s="214" t="s">
        <v>542</v>
      </c>
      <c r="J228" s="214">
        <v>1977</v>
      </c>
      <c r="K228" s="214">
        <v>54</v>
      </c>
      <c r="L228" s="218">
        <v>0</v>
      </c>
      <c r="M228" s="214">
        <v>54</v>
      </c>
      <c r="N228" s="218">
        <v>0</v>
      </c>
      <c r="O228" s="213" t="s">
        <v>514</v>
      </c>
      <c r="P228" s="218">
        <v>156916523</v>
      </c>
      <c r="Q228" s="218" t="s">
        <v>515</v>
      </c>
      <c r="R228" s="218" t="s">
        <v>516</v>
      </c>
    </row>
    <row r="229" spans="1:18" ht="24" x14ac:dyDescent="0.25">
      <c r="A229" s="212" t="s">
        <v>510</v>
      </c>
      <c r="B229" s="213">
        <v>228</v>
      </c>
      <c r="C229" s="214" t="s">
        <v>756</v>
      </c>
      <c r="D229" s="217">
        <v>469780030014</v>
      </c>
      <c r="E229" s="214">
        <v>3307.13</v>
      </c>
      <c r="F229" s="214">
        <v>2964.49</v>
      </c>
      <c r="G229" s="214">
        <v>9</v>
      </c>
      <c r="H229" s="214" t="s">
        <v>512</v>
      </c>
      <c r="I229" s="214" t="s">
        <v>513</v>
      </c>
      <c r="J229" s="214">
        <v>1978</v>
      </c>
      <c r="K229" s="214">
        <v>52</v>
      </c>
      <c r="L229" s="218">
        <v>1</v>
      </c>
      <c r="M229" s="214">
        <v>53</v>
      </c>
      <c r="N229" s="218">
        <v>1</v>
      </c>
      <c r="O229" s="213" t="s">
        <v>514</v>
      </c>
      <c r="P229" s="218">
        <v>156916523</v>
      </c>
      <c r="Q229" s="218" t="s">
        <v>515</v>
      </c>
      <c r="R229" s="218" t="s">
        <v>516</v>
      </c>
    </row>
    <row r="230" spans="1:18" ht="24" x14ac:dyDescent="0.25">
      <c r="A230" s="212" t="s">
        <v>510</v>
      </c>
      <c r="B230" s="213">
        <v>229</v>
      </c>
      <c r="C230" s="214" t="s">
        <v>757</v>
      </c>
      <c r="D230" s="217">
        <v>469780031011</v>
      </c>
      <c r="E230" s="214">
        <v>4840.5</v>
      </c>
      <c r="F230" s="214">
        <v>4021.78</v>
      </c>
      <c r="G230" s="214">
        <v>5</v>
      </c>
      <c r="H230" s="214" t="s">
        <v>518</v>
      </c>
      <c r="I230" s="214" t="s">
        <v>519</v>
      </c>
      <c r="J230" s="214">
        <v>1978</v>
      </c>
      <c r="K230" s="214">
        <v>75</v>
      </c>
      <c r="L230" s="218">
        <v>0</v>
      </c>
      <c r="M230" s="214">
        <v>75</v>
      </c>
      <c r="N230" s="218">
        <v>0</v>
      </c>
      <c r="O230" s="213" t="s">
        <v>514</v>
      </c>
      <c r="P230" s="218">
        <v>156916523</v>
      </c>
      <c r="Q230" s="218" t="s">
        <v>515</v>
      </c>
      <c r="R230" s="218" t="s">
        <v>516</v>
      </c>
    </row>
    <row r="231" spans="1:18" ht="24" x14ac:dyDescent="0.25">
      <c r="A231" s="212" t="s">
        <v>510</v>
      </c>
      <c r="B231" s="213">
        <v>230</v>
      </c>
      <c r="C231" s="214" t="s">
        <v>758</v>
      </c>
      <c r="D231" s="217">
        <v>469780032014</v>
      </c>
      <c r="E231" s="214">
        <v>3307.77</v>
      </c>
      <c r="F231" s="214">
        <v>2984.26</v>
      </c>
      <c r="G231" s="214">
        <v>9</v>
      </c>
      <c r="H231" s="214" t="s">
        <v>512</v>
      </c>
      <c r="I231" s="214" t="s">
        <v>513</v>
      </c>
      <c r="J231" s="214">
        <v>1978</v>
      </c>
      <c r="K231" s="214">
        <v>54</v>
      </c>
      <c r="L231" s="218">
        <v>0</v>
      </c>
      <c r="M231" s="214">
        <v>54</v>
      </c>
      <c r="N231" s="218">
        <v>0</v>
      </c>
      <c r="O231" s="213" t="s">
        <v>514</v>
      </c>
      <c r="P231" s="218">
        <v>156916523</v>
      </c>
      <c r="Q231" s="218" t="s">
        <v>515</v>
      </c>
      <c r="R231" s="218" t="s">
        <v>516</v>
      </c>
    </row>
    <row r="232" spans="1:18" ht="24" x14ac:dyDescent="0.25">
      <c r="A232" s="212" t="s">
        <v>510</v>
      </c>
      <c r="B232" s="213">
        <v>231</v>
      </c>
      <c r="C232" s="214" t="s">
        <v>759</v>
      </c>
      <c r="D232" s="217">
        <v>469780033017</v>
      </c>
      <c r="E232" s="214">
        <v>4817.71</v>
      </c>
      <c r="F232" s="214">
        <v>4023.97</v>
      </c>
      <c r="G232" s="214">
        <v>5</v>
      </c>
      <c r="H232" s="214" t="s">
        <v>512</v>
      </c>
      <c r="I232" s="214" t="s">
        <v>513</v>
      </c>
      <c r="J232" s="214">
        <v>1978</v>
      </c>
      <c r="K232" s="214">
        <v>75</v>
      </c>
      <c r="L232" s="218">
        <v>0</v>
      </c>
      <c r="M232" s="214">
        <v>75</v>
      </c>
      <c r="N232" s="218">
        <v>0</v>
      </c>
      <c r="O232" s="213" t="s">
        <v>514</v>
      </c>
      <c r="P232" s="218">
        <v>156916523</v>
      </c>
      <c r="Q232" s="218" t="s">
        <v>515</v>
      </c>
      <c r="R232" s="218" t="s">
        <v>516</v>
      </c>
    </row>
    <row r="233" spans="1:18" ht="24" x14ac:dyDescent="0.25">
      <c r="A233" s="212" t="s">
        <v>510</v>
      </c>
      <c r="B233" s="213">
        <v>232</v>
      </c>
      <c r="C233" s="214" t="s">
        <v>760</v>
      </c>
      <c r="D233" s="217">
        <v>469800022012</v>
      </c>
      <c r="E233" s="214">
        <v>2812.94</v>
      </c>
      <c r="F233" s="214">
        <v>2349.44</v>
      </c>
      <c r="G233" s="214">
        <v>5</v>
      </c>
      <c r="H233" s="214" t="s">
        <v>512</v>
      </c>
      <c r="I233" s="214" t="s">
        <v>513</v>
      </c>
      <c r="J233" s="214">
        <v>1980</v>
      </c>
      <c r="K233" s="214">
        <v>45</v>
      </c>
      <c r="L233" s="218">
        <v>0</v>
      </c>
      <c r="M233" s="214">
        <v>45</v>
      </c>
      <c r="N233" s="218">
        <v>0</v>
      </c>
      <c r="O233" s="213" t="s">
        <v>514</v>
      </c>
      <c r="P233" s="218">
        <v>156916523</v>
      </c>
      <c r="Q233" s="218" t="s">
        <v>515</v>
      </c>
      <c r="R233" s="218" t="s">
        <v>516</v>
      </c>
    </row>
    <row r="234" spans="1:18" ht="24" x14ac:dyDescent="0.25">
      <c r="A234" s="212" t="s">
        <v>510</v>
      </c>
      <c r="B234" s="213">
        <v>233</v>
      </c>
      <c r="C234" s="214" t="s">
        <v>761</v>
      </c>
      <c r="D234" s="217">
        <v>469820014016</v>
      </c>
      <c r="E234" s="214">
        <v>3632.21</v>
      </c>
      <c r="F234" s="214">
        <v>2924</v>
      </c>
      <c r="G234" s="214">
        <v>5</v>
      </c>
      <c r="H234" s="214" t="s">
        <v>527</v>
      </c>
      <c r="I234" s="214" t="s">
        <v>519</v>
      </c>
      <c r="J234" s="214">
        <v>1982</v>
      </c>
      <c r="K234" s="214">
        <v>54</v>
      </c>
      <c r="L234" s="218">
        <v>0</v>
      </c>
      <c r="M234" s="214">
        <v>54</v>
      </c>
      <c r="N234" s="218">
        <v>0</v>
      </c>
      <c r="O234" s="213" t="s">
        <v>514</v>
      </c>
      <c r="P234" s="218">
        <v>156916523</v>
      </c>
      <c r="Q234" s="218" t="s">
        <v>515</v>
      </c>
      <c r="R234" s="218" t="s">
        <v>516</v>
      </c>
    </row>
    <row r="235" spans="1:18" ht="24" x14ac:dyDescent="0.25">
      <c r="A235" s="212" t="s">
        <v>510</v>
      </c>
      <c r="B235" s="213">
        <v>234</v>
      </c>
      <c r="C235" s="214" t="s">
        <v>762</v>
      </c>
      <c r="D235" s="217">
        <v>469830019010</v>
      </c>
      <c r="E235" s="214">
        <v>2479.63</v>
      </c>
      <c r="F235" s="214">
        <v>2009.08</v>
      </c>
      <c r="G235" s="214">
        <v>5</v>
      </c>
      <c r="H235" s="214" t="s">
        <v>550</v>
      </c>
      <c r="I235" s="214" t="s">
        <v>513</v>
      </c>
      <c r="J235" s="214">
        <v>1983</v>
      </c>
      <c r="K235" s="214">
        <v>36</v>
      </c>
      <c r="L235" s="218">
        <v>0</v>
      </c>
      <c r="M235" s="214">
        <v>36</v>
      </c>
      <c r="N235" s="218">
        <v>0</v>
      </c>
      <c r="O235" s="213"/>
      <c r="P235" s="218">
        <v>156916523</v>
      </c>
      <c r="Q235" s="218" t="s">
        <v>515</v>
      </c>
      <c r="R235" s="218" t="s">
        <v>516</v>
      </c>
    </row>
    <row r="236" spans="1:18" ht="24" x14ac:dyDescent="0.25">
      <c r="A236" s="212" t="s">
        <v>510</v>
      </c>
      <c r="B236" s="213">
        <v>235</v>
      </c>
      <c r="C236" s="214" t="s">
        <v>763</v>
      </c>
      <c r="D236" s="217">
        <v>469900013017</v>
      </c>
      <c r="E236" s="214">
        <v>2833.92</v>
      </c>
      <c r="F236" s="214">
        <v>2345.0500000000002</v>
      </c>
      <c r="G236" s="214">
        <v>5</v>
      </c>
      <c r="H236" s="214" t="s">
        <v>518</v>
      </c>
      <c r="I236" s="214" t="s">
        <v>513</v>
      </c>
      <c r="J236" s="214">
        <v>1990</v>
      </c>
      <c r="K236" s="214">
        <v>45</v>
      </c>
      <c r="L236" s="218">
        <v>0</v>
      </c>
      <c r="M236" s="214">
        <v>45</v>
      </c>
      <c r="N236" s="218">
        <v>0</v>
      </c>
      <c r="O236" s="213" t="s">
        <v>514</v>
      </c>
      <c r="P236" s="218">
        <v>156916523</v>
      </c>
      <c r="Q236" s="218" t="s">
        <v>515</v>
      </c>
      <c r="R236" s="218" t="s">
        <v>516</v>
      </c>
    </row>
    <row r="237" spans="1:18" ht="24" x14ac:dyDescent="0.25">
      <c r="A237" s="212" t="s">
        <v>510</v>
      </c>
      <c r="B237" s="213">
        <v>236</v>
      </c>
      <c r="C237" s="214" t="s">
        <v>764</v>
      </c>
      <c r="D237" s="217">
        <v>469790012010</v>
      </c>
      <c r="E237" s="214">
        <v>2755.62</v>
      </c>
      <c r="F237" s="214">
        <v>2240.81</v>
      </c>
      <c r="G237" s="214">
        <v>5</v>
      </c>
      <c r="H237" s="214" t="s">
        <v>518</v>
      </c>
      <c r="I237" s="214" t="s">
        <v>519</v>
      </c>
      <c r="J237" s="214">
        <v>1979</v>
      </c>
      <c r="K237" s="214">
        <v>0</v>
      </c>
      <c r="L237" s="218">
        <v>0</v>
      </c>
      <c r="M237" s="214">
        <v>44</v>
      </c>
      <c r="N237" s="218">
        <v>1</v>
      </c>
      <c r="O237" s="213" t="s">
        <v>514</v>
      </c>
      <c r="P237" s="218">
        <v>156916523</v>
      </c>
      <c r="Q237" s="218" t="s">
        <v>515</v>
      </c>
      <c r="R237" s="218" t="s">
        <v>516</v>
      </c>
    </row>
    <row r="238" spans="1:18" ht="24" x14ac:dyDescent="0.25">
      <c r="A238" s="212" t="s">
        <v>510</v>
      </c>
      <c r="B238" s="213">
        <v>237</v>
      </c>
      <c r="C238" s="214" t="s">
        <v>765</v>
      </c>
      <c r="D238" s="217">
        <v>469790060019</v>
      </c>
      <c r="E238" s="214">
        <v>2756.19</v>
      </c>
      <c r="F238" s="214">
        <v>2290.35</v>
      </c>
      <c r="G238" s="214">
        <v>5</v>
      </c>
      <c r="H238" s="214" t="s">
        <v>512</v>
      </c>
      <c r="I238" s="214" t="s">
        <v>513</v>
      </c>
      <c r="J238" s="214">
        <v>1979</v>
      </c>
      <c r="K238" s="214">
        <v>45</v>
      </c>
      <c r="L238" s="218">
        <v>0</v>
      </c>
      <c r="M238" s="214">
        <v>45</v>
      </c>
      <c r="N238" s="218">
        <v>0</v>
      </c>
      <c r="O238" s="213" t="s">
        <v>514</v>
      </c>
      <c r="P238" s="218">
        <v>156916523</v>
      </c>
      <c r="Q238" s="218" t="s">
        <v>515</v>
      </c>
      <c r="R238" s="218" t="s">
        <v>516</v>
      </c>
    </row>
    <row r="239" spans="1:18" ht="24.75" thickBot="1" x14ac:dyDescent="0.3">
      <c r="A239" s="223" t="s">
        <v>510</v>
      </c>
      <c r="B239" s="224">
        <v>238</v>
      </c>
      <c r="C239" s="225" t="s">
        <v>766</v>
      </c>
      <c r="D239" s="226">
        <v>469910012013</v>
      </c>
      <c r="E239" s="225">
        <v>2856.83</v>
      </c>
      <c r="F239" s="225">
        <v>2325.6999999999998</v>
      </c>
      <c r="G239" s="225">
        <v>5</v>
      </c>
      <c r="H239" s="225" t="s">
        <v>512</v>
      </c>
      <c r="I239" s="225" t="s">
        <v>513</v>
      </c>
      <c r="J239" s="225">
        <v>1991</v>
      </c>
      <c r="K239" s="225">
        <v>45</v>
      </c>
      <c r="L239" s="227">
        <v>0</v>
      </c>
      <c r="M239" s="225">
        <v>45</v>
      </c>
      <c r="N239" s="227">
        <v>0</v>
      </c>
      <c r="O239" s="224" t="s">
        <v>514</v>
      </c>
      <c r="P239" s="227">
        <v>156916523</v>
      </c>
      <c r="Q239" s="227" t="s">
        <v>515</v>
      </c>
      <c r="R239" s="227" t="s">
        <v>516</v>
      </c>
    </row>
    <row r="240" spans="1:18" ht="24" x14ac:dyDescent="0.25">
      <c r="A240" s="212" t="s">
        <v>510</v>
      </c>
      <c r="B240" s="213">
        <v>1</v>
      </c>
      <c r="C240" s="214" t="s">
        <v>767</v>
      </c>
      <c r="D240" s="215">
        <v>469530002011</v>
      </c>
      <c r="E240" s="216">
        <v>395.68</v>
      </c>
      <c r="F240" s="216">
        <v>331.66</v>
      </c>
      <c r="G240" s="216">
        <v>2</v>
      </c>
      <c r="H240" s="216" t="s">
        <v>527</v>
      </c>
      <c r="I240" s="216" t="s">
        <v>601</v>
      </c>
      <c r="J240" s="216">
        <v>1953</v>
      </c>
      <c r="K240" s="216">
        <v>9</v>
      </c>
      <c r="L240" s="213">
        <v>0</v>
      </c>
      <c r="M240" s="216">
        <v>9</v>
      </c>
      <c r="N240" s="213">
        <v>0</v>
      </c>
      <c r="O240" s="213"/>
      <c r="P240" s="213"/>
      <c r="Q240" s="213"/>
      <c r="R240" s="213"/>
    </row>
    <row r="241" spans="1:18" ht="24" x14ac:dyDescent="0.25">
      <c r="A241" s="212" t="s">
        <v>510</v>
      </c>
      <c r="B241" s="213">
        <v>2</v>
      </c>
      <c r="C241" s="214" t="s">
        <v>768</v>
      </c>
      <c r="D241" s="215">
        <v>469360001012</v>
      </c>
      <c r="E241" s="216">
        <v>88.66</v>
      </c>
      <c r="F241" s="216">
        <v>88.66</v>
      </c>
      <c r="G241" s="216">
        <v>1</v>
      </c>
      <c r="H241" s="216" t="s">
        <v>611</v>
      </c>
      <c r="I241" s="216" t="s">
        <v>769</v>
      </c>
      <c r="J241" s="216">
        <v>1936</v>
      </c>
      <c r="K241" s="216">
        <v>3</v>
      </c>
      <c r="L241" s="213">
        <v>0</v>
      </c>
      <c r="M241" s="216">
        <v>3</v>
      </c>
      <c r="N241" s="213">
        <v>0</v>
      </c>
      <c r="O241" s="213"/>
      <c r="P241" s="213"/>
      <c r="Q241" s="213"/>
      <c r="R241" s="213"/>
    </row>
    <row r="242" spans="1:18" ht="24" x14ac:dyDescent="0.25">
      <c r="A242" s="212" t="s">
        <v>510</v>
      </c>
      <c r="B242" s="213">
        <v>3</v>
      </c>
      <c r="C242" s="214" t="s">
        <v>770</v>
      </c>
      <c r="D242" s="215">
        <v>469920006010</v>
      </c>
      <c r="E242" s="216">
        <v>1241.72</v>
      </c>
      <c r="F242" s="216">
        <v>1009.06</v>
      </c>
      <c r="G242" s="216">
        <v>5</v>
      </c>
      <c r="H242" s="216" t="s">
        <v>550</v>
      </c>
      <c r="I242" s="216" t="s">
        <v>513</v>
      </c>
      <c r="J242" s="216">
        <v>1992</v>
      </c>
      <c r="K242" s="216">
        <v>18</v>
      </c>
      <c r="L242" s="213">
        <v>0</v>
      </c>
      <c r="M242" s="216">
        <v>18</v>
      </c>
      <c r="N242" s="213">
        <v>0</v>
      </c>
      <c r="O242" s="213"/>
      <c r="P242" s="213"/>
      <c r="Q242" s="213"/>
      <c r="R242" s="213"/>
    </row>
    <row r="243" spans="1:18" ht="24" x14ac:dyDescent="0.25">
      <c r="A243" s="212" t="s">
        <v>510</v>
      </c>
      <c r="B243" s="213">
        <v>4</v>
      </c>
      <c r="C243" s="214" t="s">
        <v>771</v>
      </c>
      <c r="D243" s="215">
        <v>468750003011</v>
      </c>
      <c r="E243" s="216">
        <v>82.72</v>
      </c>
      <c r="F243" s="216">
        <v>79.010000000000005</v>
      </c>
      <c r="G243" s="216">
        <v>1</v>
      </c>
      <c r="H243" s="216" t="s">
        <v>772</v>
      </c>
      <c r="I243" s="216" t="s">
        <v>773</v>
      </c>
      <c r="J243" s="216">
        <v>1875</v>
      </c>
      <c r="K243" s="216">
        <v>3</v>
      </c>
      <c r="L243" s="213">
        <v>0</v>
      </c>
      <c r="M243" s="216">
        <v>3</v>
      </c>
      <c r="N243" s="213">
        <v>0</v>
      </c>
      <c r="O243" s="213"/>
      <c r="P243" s="213"/>
      <c r="Q243" s="213"/>
      <c r="R243" s="213"/>
    </row>
    <row r="244" spans="1:18" ht="24" x14ac:dyDescent="0.25">
      <c r="A244" s="212" t="s">
        <v>510</v>
      </c>
      <c r="B244" s="213">
        <v>5</v>
      </c>
      <c r="C244" s="214" t="s">
        <v>774</v>
      </c>
      <c r="D244" s="215">
        <v>469820043033</v>
      </c>
      <c r="E244" s="216">
        <v>355.91</v>
      </c>
      <c r="F244" s="216">
        <v>244.66</v>
      </c>
      <c r="G244" s="216">
        <v>2</v>
      </c>
      <c r="H244" s="216" t="s">
        <v>518</v>
      </c>
      <c r="I244" s="216" t="s">
        <v>542</v>
      </c>
      <c r="J244" s="216">
        <v>1982</v>
      </c>
      <c r="K244" s="216">
        <v>4</v>
      </c>
      <c r="L244" s="213">
        <v>0</v>
      </c>
      <c r="M244" s="216">
        <v>4</v>
      </c>
      <c r="N244" s="213">
        <v>0</v>
      </c>
      <c r="O244" s="213"/>
      <c r="P244" s="213"/>
      <c r="Q244" s="213"/>
      <c r="R244" s="213"/>
    </row>
    <row r="245" spans="1:18" ht="24" x14ac:dyDescent="0.25">
      <c r="A245" s="212" t="s">
        <v>510</v>
      </c>
      <c r="B245" s="213">
        <v>6</v>
      </c>
      <c r="C245" s="214" t="s">
        <v>775</v>
      </c>
      <c r="D245" s="215">
        <v>469630007023</v>
      </c>
      <c r="E245" s="216">
        <v>373.45</v>
      </c>
      <c r="F245" s="216">
        <v>373.45</v>
      </c>
      <c r="G245" s="216">
        <v>2</v>
      </c>
      <c r="H245" s="216" t="s">
        <v>527</v>
      </c>
      <c r="I245" s="216" t="s">
        <v>513</v>
      </c>
      <c r="J245" s="216">
        <v>1963</v>
      </c>
      <c r="K245" s="216">
        <v>5</v>
      </c>
      <c r="L245" s="213">
        <v>0</v>
      </c>
      <c r="M245" s="216">
        <v>5</v>
      </c>
      <c r="N245" s="213">
        <v>0</v>
      </c>
      <c r="O245" s="213"/>
      <c r="P245" s="213"/>
      <c r="Q245" s="213"/>
      <c r="R245" s="213"/>
    </row>
    <row r="246" spans="1:18" ht="24" x14ac:dyDescent="0.25">
      <c r="A246" s="212" t="s">
        <v>510</v>
      </c>
      <c r="B246" s="213">
        <v>7</v>
      </c>
      <c r="C246" s="214" t="s">
        <v>776</v>
      </c>
      <c r="D246" s="215">
        <v>468800005010</v>
      </c>
      <c r="E246" s="216">
        <v>276.87</v>
      </c>
      <c r="F246" s="216">
        <v>276.87</v>
      </c>
      <c r="G246" s="216">
        <v>1</v>
      </c>
      <c r="H246" s="216" t="s">
        <v>611</v>
      </c>
      <c r="I246" s="216" t="s">
        <v>524</v>
      </c>
      <c r="J246" s="216">
        <v>1880</v>
      </c>
      <c r="K246" s="216">
        <v>6</v>
      </c>
      <c r="L246" s="213">
        <v>0</v>
      </c>
      <c r="M246" s="216">
        <v>6</v>
      </c>
      <c r="N246" s="213">
        <v>0</v>
      </c>
      <c r="O246" s="213"/>
      <c r="P246" s="213"/>
      <c r="Q246" s="213"/>
      <c r="R246" s="213"/>
    </row>
    <row r="247" spans="1:18" ht="24" x14ac:dyDescent="0.25">
      <c r="A247" s="212" t="s">
        <v>510</v>
      </c>
      <c r="B247" s="213">
        <v>8</v>
      </c>
      <c r="C247" s="214" t="s">
        <v>777</v>
      </c>
      <c r="D247" s="215">
        <v>469590005012</v>
      </c>
      <c r="E247" s="216">
        <v>194.39</v>
      </c>
      <c r="F247" s="216">
        <v>194.39</v>
      </c>
      <c r="G247" s="216">
        <v>1</v>
      </c>
      <c r="H247" s="216" t="s">
        <v>527</v>
      </c>
      <c r="I247" s="216" t="s">
        <v>524</v>
      </c>
      <c r="J247" s="216">
        <v>1959</v>
      </c>
      <c r="K247" s="216">
        <v>3</v>
      </c>
      <c r="L247" s="213">
        <v>0</v>
      </c>
      <c r="M247" s="216">
        <v>3</v>
      </c>
      <c r="N247" s="213">
        <v>0</v>
      </c>
      <c r="O247" s="213"/>
      <c r="P247" s="213"/>
      <c r="Q247" s="213"/>
      <c r="R247" s="213"/>
    </row>
    <row r="248" spans="1:18" ht="24" x14ac:dyDescent="0.25">
      <c r="A248" s="212" t="s">
        <v>510</v>
      </c>
      <c r="B248" s="213">
        <v>9</v>
      </c>
      <c r="C248" s="214" t="s">
        <v>778</v>
      </c>
      <c r="D248" s="215">
        <v>469580024010</v>
      </c>
      <c r="E248" s="216">
        <v>176.21</v>
      </c>
      <c r="F248" s="216">
        <v>176.21</v>
      </c>
      <c r="G248" s="216">
        <v>1</v>
      </c>
      <c r="H248" s="216" t="s">
        <v>527</v>
      </c>
      <c r="I248" s="216" t="s">
        <v>524</v>
      </c>
      <c r="J248" s="216">
        <v>1958</v>
      </c>
      <c r="K248" s="216">
        <v>4</v>
      </c>
      <c r="L248" s="213">
        <v>0</v>
      </c>
      <c r="M248" s="216">
        <v>4</v>
      </c>
      <c r="N248" s="213">
        <v>0</v>
      </c>
      <c r="O248" s="213"/>
      <c r="P248" s="213"/>
      <c r="Q248" s="213"/>
      <c r="R248" s="213"/>
    </row>
    <row r="249" spans="1:18" ht="24" x14ac:dyDescent="0.25">
      <c r="A249" s="212" t="s">
        <v>510</v>
      </c>
      <c r="B249" s="213">
        <v>10</v>
      </c>
      <c r="C249" s="214" t="s">
        <v>779</v>
      </c>
      <c r="D249" s="215">
        <v>468870001019</v>
      </c>
      <c r="E249" s="216">
        <v>166.78</v>
      </c>
      <c r="F249" s="216">
        <v>166.78</v>
      </c>
      <c r="G249" s="216">
        <v>1</v>
      </c>
      <c r="H249" s="216" t="s">
        <v>527</v>
      </c>
      <c r="I249" s="216" t="s">
        <v>524</v>
      </c>
      <c r="J249" s="216">
        <v>1887</v>
      </c>
      <c r="K249" s="216">
        <v>4</v>
      </c>
      <c r="L249" s="213">
        <v>0</v>
      </c>
      <c r="M249" s="216">
        <v>4</v>
      </c>
      <c r="N249" s="213">
        <v>0</v>
      </c>
      <c r="O249" s="213"/>
      <c r="P249" s="213"/>
      <c r="Q249" s="213"/>
      <c r="R249" s="213"/>
    </row>
    <row r="250" spans="1:18" ht="24" x14ac:dyDescent="0.25">
      <c r="A250" s="212" t="s">
        <v>510</v>
      </c>
      <c r="B250" s="213">
        <v>11</v>
      </c>
      <c r="C250" s="214" t="s">
        <v>780</v>
      </c>
      <c r="D250" s="215">
        <v>468750002014</v>
      </c>
      <c r="E250" s="216">
        <v>271.73</v>
      </c>
      <c r="F250" s="216">
        <v>271.73</v>
      </c>
      <c r="G250" s="216">
        <v>1</v>
      </c>
      <c r="H250" s="216" t="s">
        <v>611</v>
      </c>
      <c r="I250" s="216" t="s">
        <v>524</v>
      </c>
      <c r="J250" s="216">
        <v>1875</v>
      </c>
      <c r="K250" s="216">
        <v>6</v>
      </c>
      <c r="L250" s="213">
        <v>0</v>
      </c>
      <c r="M250" s="216">
        <v>6</v>
      </c>
      <c r="N250" s="213">
        <v>0</v>
      </c>
      <c r="O250" s="213"/>
      <c r="P250" s="213"/>
      <c r="Q250" s="213"/>
      <c r="R250" s="213"/>
    </row>
    <row r="251" spans="1:18" ht="24" x14ac:dyDescent="0.25">
      <c r="A251" s="212" t="s">
        <v>510</v>
      </c>
      <c r="B251" s="213">
        <v>12</v>
      </c>
      <c r="C251" s="214" t="s">
        <v>781</v>
      </c>
      <c r="D251" s="215">
        <v>468960002015</v>
      </c>
      <c r="E251" s="216">
        <v>227.5</v>
      </c>
      <c r="F251" s="216">
        <v>227.5</v>
      </c>
      <c r="G251" s="216">
        <v>1</v>
      </c>
      <c r="H251" s="216" t="s">
        <v>611</v>
      </c>
      <c r="I251" s="216" t="s">
        <v>524</v>
      </c>
      <c r="J251" s="216">
        <v>1896</v>
      </c>
      <c r="K251" s="216">
        <v>4</v>
      </c>
      <c r="L251" s="213">
        <v>0</v>
      </c>
      <c r="M251" s="216">
        <v>4</v>
      </c>
      <c r="N251" s="213">
        <v>0</v>
      </c>
      <c r="O251" s="213"/>
      <c r="P251" s="213"/>
      <c r="Q251" s="213"/>
      <c r="R251" s="213"/>
    </row>
    <row r="252" spans="1:18" ht="24" x14ac:dyDescent="0.25">
      <c r="A252" s="212" t="s">
        <v>510</v>
      </c>
      <c r="B252" s="213">
        <v>13</v>
      </c>
      <c r="C252" s="214" t="s">
        <v>782</v>
      </c>
      <c r="D252" s="217">
        <v>469690029016</v>
      </c>
      <c r="E252" s="214">
        <v>2876.01</v>
      </c>
      <c r="F252" s="214">
        <v>2600.2199999999998</v>
      </c>
      <c r="G252" s="214">
        <v>5</v>
      </c>
      <c r="H252" s="214" t="s">
        <v>527</v>
      </c>
      <c r="I252" s="214" t="s">
        <v>519</v>
      </c>
      <c r="J252" s="214">
        <v>1970</v>
      </c>
      <c r="K252" s="214">
        <v>0</v>
      </c>
      <c r="L252" s="218">
        <v>0</v>
      </c>
      <c r="M252" s="214">
        <v>50</v>
      </c>
      <c r="N252" s="218">
        <v>0</v>
      </c>
      <c r="O252" s="213"/>
      <c r="P252" s="218"/>
      <c r="Q252" s="213"/>
      <c r="R252" s="213"/>
    </row>
    <row r="253" spans="1:18" ht="24" x14ac:dyDescent="0.25">
      <c r="A253" s="212" t="s">
        <v>510</v>
      </c>
      <c r="B253" s="213">
        <v>14</v>
      </c>
      <c r="C253" s="214" t="s">
        <v>783</v>
      </c>
      <c r="D253" s="217">
        <v>469660025013</v>
      </c>
      <c r="E253" s="214">
        <v>397.41</v>
      </c>
      <c r="F253" s="214">
        <v>356.34</v>
      </c>
      <c r="G253" s="214">
        <v>2</v>
      </c>
      <c r="H253" s="214" t="s">
        <v>527</v>
      </c>
      <c r="I253" s="214" t="s">
        <v>524</v>
      </c>
      <c r="J253" s="214">
        <v>1966</v>
      </c>
      <c r="K253" s="214">
        <v>8</v>
      </c>
      <c r="L253" s="218">
        <v>0</v>
      </c>
      <c r="M253" s="214">
        <v>8</v>
      </c>
      <c r="N253" s="218">
        <v>0</v>
      </c>
      <c r="O253" s="213"/>
      <c r="P253" s="218"/>
      <c r="Q253" s="218"/>
      <c r="R253" s="213"/>
    </row>
    <row r="254" spans="1:18" ht="24" x14ac:dyDescent="0.25">
      <c r="A254" s="212" t="s">
        <v>510</v>
      </c>
      <c r="B254" s="213">
        <v>15</v>
      </c>
      <c r="C254" s="214" t="s">
        <v>784</v>
      </c>
      <c r="D254" s="217">
        <v>440017947767</v>
      </c>
      <c r="E254" s="214">
        <v>6114.44</v>
      </c>
      <c r="F254" s="214">
        <v>4699.6400000000003</v>
      </c>
      <c r="G254" s="214">
        <v>5</v>
      </c>
      <c r="H254" s="214" t="s">
        <v>527</v>
      </c>
      <c r="I254" s="214" t="s">
        <v>617</v>
      </c>
      <c r="J254" s="214">
        <v>2012</v>
      </c>
      <c r="K254" s="214">
        <v>0</v>
      </c>
      <c r="L254" s="218">
        <v>0</v>
      </c>
      <c r="M254" s="214">
        <v>72</v>
      </c>
      <c r="N254" s="218">
        <v>7</v>
      </c>
      <c r="O254" s="213"/>
      <c r="P254" s="218"/>
      <c r="Q254" s="218"/>
      <c r="R254" s="218"/>
    </row>
    <row r="255" spans="1:18" ht="24" x14ac:dyDescent="0.25">
      <c r="A255" s="212" t="s">
        <v>510</v>
      </c>
      <c r="B255" s="213">
        <v>16</v>
      </c>
      <c r="C255" s="214" t="s">
        <v>785</v>
      </c>
      <c r="D255" s="215">
        <v>469910005016</v>
      </c>
      <c r="E255" s="216">
        <v>2192.36</v>
      </c>
      <c r="F255" s="216">
        <v>1967.15</v>
      </c>
      <c r="G255" s="216">
        <v>9</v>
      </c>
      <c r="H255" s="216" t="s">
        <v>550</v>
      </c>
      <c r="I255" s="216" t="s">
        <v>513</v>
      </c>
      <c r="J255" s="216">
        <v>1991</v>
      </c>
      <c r="K255" s="216">
        <v>38</v>
      </c>
      <c r="L255" s="213">
        <v>0</v>
      </c>
      <c r="M255" s="216">
        <v>38</v>
      </c>
      <c r="N255" s="213">
        <v>0</v>
      </c>
      <c r="O255" s="213" t="s">
        <v>406</v>
      </c>
      <c r="P255" s="213"/>
      <c r="Q255" s="213"/>
      <c r="R255" s="213"/>
    </row>
    <row r="256" spans="1:18" ht="24" x14ac:dyDescent="0.25">
      <c r="A256" s="212" t="s">
        <v>510</v>
      </c>
      <c r="B256" s="213">
        <v>17</v>
      </c>
      <c r="C256" s="214" t="s">
        <v>786</v>
      </c>
      <c r="D256" s="215">
        <v>469840015015</v>
      </c>
      <c r="E256" s="216">
        <v>4808.29</v>
      </c>
      <c r="F256" s="216">
        <v>4006.35</v>
      </c>
      <c r="G256" s="216">
        <v>5</v>
      </c>
      <c r="H256" s="216" t="s">
        <v>518</v>
      </c>
      <c r="I256" s="216" t="s">
        <v>513</v>
      </c>
      <c r="J256" s="216">
        <v>1984</v>
      </c>
      <c r="K256" s="216">
        <v>75</v>
      </c>
      <c r="L256" s="213">
        <v>0</v>
      </c>
      <c r="M256" s="216">
        <v>75</v>
      </c>
      <c r="N256" s="213">
        <v>0</v>
      </c>
      <c r="O256" s="213" t="s">
        <v>406</v>
      </c>
      <c r="P256" s="213"/>
      <c r="Q256" s="213"/>
      <c r="R256" s="213"/>
    </row>
    <row r="257" spans="1:18" ht="24" x14ac:dyDescent="0.25">
      <c r="A257" s="212" t="s">
        <v>510</v>
      </c>
      <c r="B257" s="213">
        <v>18</v>
      </c>
      <c r="C257" s="214" t="s">
        <v>787</v>
      </c>
      <c r="D257" s="215">
        <v>469850013014</v>
      </c>
      <c r="E257" s="216">
        <v>1821.22</v>
      </c>
      <c r="F257" s="216">
        <v>1512.32</v>
      </c>
      <c r="G257" s="216">
        <v>5</v>
      </c>
      <c r="H257" s="216" t="s">
        <v>512</v>
      </c>
      <c r="I257" s="216" t="s">
        <v>519</v>
      </c>
      <c r="J257" s="216">
        <v>1985</v>
      </c>
      <c r="K257" s="216">
        <v>30</v>
      </c>
      <c r="L257" s="213">
        <v>0</v>
      </c>
      <c r="M257" s="216">
        <v>30</v>
      </c>
      <c r="N257" s="213">
        <v>0</v>
      </c>
      <c r="O257" s="213" t="s">
        <v>406</v>
      </c>
      <c r="P257" s="213"/>
      <c r="Q257" s="213"/>
      <c r="R257" s="213"/>
    </row>
    <row r="258" spans="1:18" ht="24" x14ac:dyDescent="0.25">
      <c r="A258" s="212" t="s">
        <v>510</v>
      </c>
      <c r="B258" s="213">
        <v>19</v>
      </c>
      <c r="C258" s="214" t="s">
        <v>788</v>
      </c>
      <c r="D258" s="215">
        <v>469930033012</v>
      </c>
      <c r="E258" s="216">
        <v>1219.6400000000001</v>
      </c>
      <c r="F258" s="216">
        <v>989.4</v>
      </c>
      <c r="G258" s="216">
        <v>4</v>
      </c>
      <c r="H258" s="216" t="s">
        <v>550</v>
      </c>
      <c r="I258" s="216" t="s">
        <v>513</v>
      </c>
      <c r="J258" s="216">
        <v>1993</v>
      </c>
      <c r="K258" s="216">
        <v>18</v>
      </c>
      <c r="L258" s="213">
        <v>0</v>
      </c>
      <c r="M258" s="216">
        <v>18</v>
      </c>
      <c r="N258" s="213">
        <v>0</v>
      </c>
      <c r="O258" s="213" t="s">
        <v>406</v>
      </c>
      <c r="P258" s="213"/>
      <c r="Q258" s="213"/>
      <c r="R258" s="213"/>
    </row>
    <row r="259" spans="1:18" ht="24" x14ac:dyDescent="0.25">
      <c r="A259" s="212" t="s">
        <v>510</v>
      </c>
      <c r="B259" s="213">
        <v>20</v>
      </c>
      <c r="C259" s="214" t="s">
        <v>789</v>
      </c>
      <c r="D259" s="215">
        <v>469660007015</v>
      </c>
      <c r="E259" s="216">
        <v>1581.7</v>
      </c>
      <c r="F259" s="216">
        <v>1141.1099999999999</v>
      </c>
      <c r="G259" s="216">
        <v>4</v>
      </c>
      <c r="H259" s="216" t="s">
        <v>527</v>
      </c>
      <c r="I259" s="216" t="s">
        <v>542</v>
      </c>
      <c r="J259" s="216">
        <v>1966</v>
      </c>
      <c r="K259" s="216">
        <v>22</v>
      </c>
      <c r="L259" s="213">
        <v>4</v>
      </c>
      <c r="M259" s="216">
        <v>21</v>
      </c>
      <c r="N259" s="213">
        <v>4</v>
      </c>
      <c r="O259" s="213" t="s">
        <v>406</v>
      </c>
      <c r="P259" s="213"/>
      <c r="Q259" s="213"/>
      <c r="R259" s="213"/>
    </row>
    <row r="260" spans="1:18" ht="24" x14ac:dyDescent="0.25">
      <c r="A260" s="212" t="s">
        <v>510</v>
      </c>
      <c r="B260" s="213">
        <v>21</v>
      </c>
      <c r="C260" s="214" t="s">
        <v>790</v>
      </c>
      <c r="D260" s="217">
        <v>469800017013</v>
      </c>
      <c r="E260" s="214">
        <v>2103.54</v>
      </c>
      <c r="F260" s="214">
        <v>1587.77</v>
      </c>
      <c r="G260" s="214">
        <v>5</v>
      </c>
      <c r="H260" s="214" t="s">
        <v>550</v>
      </c>
      <c r="I260" s="214" t="s">
        <v>513</v>
      </c>
      <c r="J260" s="214">
        <v>1980</v>
      </c>
      <c r="K260" s="214">
        <v>28</v>
      </c>
      <c r="L260" s="218">
        <v>0</v>
      </c>
      <c r="M260" s="214">
        <v>28</v>
      </c>
      <c r="N260" s="218">
        <v>0</v>
      </c>
      <c r="O260" s="213" t="s">
        <v>406</v>
      </c>
      <c r="P260" s="218"/>
      <c r="Q260" s="218"/>
      <c r="R260" s="218"/>
    </row>
    <row r="261" spans="1:18" ht="24" x14ac:dyDescent="0.25">
      <c r="A261" s="212" t="s">
        <v>510</v>
      </c>
      <c r="B261" s="213">
        <v>22</v>
      </c>
      <c r="C261" s="214" t="s">
        <v>791</v>
      </c>
      <c r="D261" s="217">
        <v>469740034018</v>
      </c>
      <c r="E261" s="214">
        <v>2813.26</v>
      </c>
      <c r="F261" s="214">
        <v>2324.3000000000002</v>
      </c>
      <c r="G261" s="214">
        <v>5</v>
      </c>
      <c r="H261" s="214" t="s">
        <v>512</v>
      </c>
      <c r="I261" s="214" t="s">
        <v>513</v>
      </c>
      <c r="J261" s="214">
        <v>1974</v>
      </c>
      <c r="K261" s="214">
        <v>45</v>
      </c>
      <c r="L261" s="218">
        <v>0</v>
      </c>
      <c r="M261" s="214">
        <v>45</v>
      </c>
      <c r="N261" s="218">
        <v>0</v>
      </c>
      <c r="O261" s="213" t="s">
        <v>406</v>
      </c>
      <c r="P261" s="218"/>
      <c r="Q261" s="218"/>
      <c r="R261" s="218"/>
    </row>
    <row r="262" spans="1:18" ht="24" x14ac:dyDescent="0.25">
      <c r="A262" s="212" t="s">
        <v>510</v>
      </c>
      <c r="B262" s="213">
        <v>23</v>
      </c>
      <c r="C262" s="214" t="s">
        <v>792</v>
      </c>
      <c r="D262" s="217">
        <v>469760008016</v>
      </c>
      <c r="E262" s="214">
        <v>2817.94</v>
      </c>
      <c r="F262" s="214">
        <v>2210.87</v>
      </c>
      <c r="G262" s="214">
        <v>9</v>
      </c>
      <c r="H262" s="214" t="s">
        <v>527</v>
      </c>
      <c r="I262" s="214" t="s">
        <v>542</v>
      </c>
      <c r="J262" s="214">
        <v>1976</v>
      </c>
      <c r="K262" s="214">
        <v>69</v>
      </c>
      <c r="L262" s="218">
        <v>395</v>
      </c>
      <c r="M262" s="214">
        <v>69</v>
      </c>
      <c r="N262" s="218">
        <v>2</v>
      </c>
      <c r="O262" s="213" t="s">
        <v>406</v>
      </c>
      <c r="P262" s="218">
        <v>156915389</v>
      </c>
      <c r="Q262" s="218" t="s">
        <v>793</v>
      </c>
      <c r="R262" s="218" t="s">
        <v>792</v>
      </c>
    </row>
    <row r="263" spans="1:18" ht="24" x14ac:dyDescent="0.25">
      <c r="A263" s="212" t="s">
        <v>510</v>
      </c>
      <c r="B263" s="213">
        <v>24</v>
      </c>
      <c r="C263" s="214" t="s">
        <v>794</v>
      </c>
      <c r="D263" s="217">
        <v>469760009013</v>
      </c>
      <c r="E263" s="214">
        <v>2787.15</v>
      </c>
      <c r="F263" s="214">
        <v>2275.96</v>
      </c>
      <c r="G263" s="214">
        <v>9</v>
      </c>
      <c r="H263" s="214" t="s">
        <v>527</v>
      </c>
      <c r="I263" s="214" t="s">
        <v>542</v>
      </c>
      <c r="J263" s="214">
        <v>1976</v>
      </c>
      <c r="K263" s="214">
        <v>71</v>
      </c>
      <c r="L263" s="218">
        <v>384</v>
      </c>
      <c r="M263" s="214">
        <v>71</v>
      </c>
      <c r="N263" s="218">
        <v>1</v>
      </c>
      <c r="O263" s="213" t="s">
        <v>406</v>
      </c>
      <c r="P263" s="218">
        <v>156915389</v>
      </c>
      <c r="Q263" s="218" t="s">
        <v>793</v>
      </c>
      <c r="R263" s="218" t="s">
        <v>792</v>
      </c>
    </row>
    <row r="264" spans="1:18" ht="24" x14ac:dyDescent="0.25">
      <c r="A264" s="212" t="s">
        <v>510</v>
      </c>
      <c r="B264" s="213">
        <v>25</v>
      </c>
      <c r="C264" s="228" t="s">
        <v>597</v>
      </c>
      <c r="D264" s="215">
        <v>469870005010</v>
      </c>
      <c r="E264" s="216">
        <v>3714.62</v>
      </c>
      <c r="F264" s="216">
        <v>2948.13</v>
      </c>
      <c r="G264" s="216">
        <v>5</v>
      </c>
      <c r="H264" s="216" t="s">
        <v>527</v>
      </c>
      <c r="I264" s="216" t="s">
        <v>519</v>
      </c>
      <c r="J264" s="216">
        <v>1987</v>
      </c>
      <c r="K264" s="216">
        <v>54</v>
      </c>
      <c r="L264" s="213">
        <v>0</v>
      </c>
      <c r="M264" s="216">
        <v>54</v>
      </c>
      <c r="N264" s="213">
        <v>0</v>
      </c>
      <c r="O264" s="213" t="s">
        <v>406</v>
      </c>
      <c r="P264" s="213"/>
      <c r="Q264" s="213"/>
      <c r="R264" s="213"/>
    </row>
    <row r="265" spans="1:18" ht="24" x14ac:dyDescent="0.25">
      <c r="A265" s="212" t="s">
        <v>510</v>
      </c>
      <c r="B265" s="213">
        <v>26</v>
      </c>
      <c r="C265" s="229" t="s">
        <v>795</v>
      </c>
      <c r="D265" s="219">
        <v>469730015018</v>
      </c>
      <c r="E265" s="220">
        <v>4305.99</v>
      </c>
      <c r="F265" s="220">
        <v>2715.09</v>
      </c>
      <c r="G265" s="220">
        <v>5</v>
      </c>
      <c r="H265" s="220" t="s">
        <v>550</v>
      </c>
      <c r="I265" s="220" t="s">
        <v>524</v>
      </c>
      <c r="J265" s="220">
        <v>1973</v>
      </c>
      <c r="K265" s="220">
        <v>53</v>
      </c>
      <c r="L265" s="221">
        <v>0</v>
      </c>
      <c r="M265" s="220">
        <v>53</v>
      </c>
      <c r="N265" s="221">
        <v>0</v>
      </c>
      <c r="O265" s="213" t="s">
        <v>406</v>
      </c>
      <c r="P265" s="221"/>
      <c r="Q265" s="221"/>
      <c r="R265" s="221"/>
    </row>
    <row r="266" spans="1:18" ht="24" x14ac:dyDescent="0.25">
      <c r="A266" s="212" t="s">
        <v>510</v>
      </c>
      <c r="B266" s="213">
        <v>27</v>
      </c>
      <c r="C266" s="214" t="s">
        <v>796</v>
      </c>
      <c r="D266" s="215">
        <v>469890009010</v>
      </c>
      <c r="E266" s="216">
        <v>1030.6500000000001</v>
      </c>
      <c r="F266" s="216">
        <v>762.71</v>
      </c>
      <c r="G266" s="216">
        <v>3</v>
      </c>
      <c r="H266" s="216" t="s">
        <v>550</v>
      </c>
      <c r="I266" s="216" t="s">
        <v>513</v>
      </c>
      <c r="J266" s="216">
        <v>1989</v>
      </c>
      <c r="K266" s="216">
        <v>14</v>
      </c>
      <c r="L266" s="213">
        <v>0</v>
      </c>
      <c r="M266" s="216">
        <v>14</v>
      </c>
      <c r="N266" s="213">
        <v>0</v>
      </c>
      <c r="O266" s="213" t="s">
        <v>406</v>
      </c>
      <c r="P266" s="213"/>
      <c r="Q266" s="213"/>
      <c r="R266" s="213"/>
    </row>
    <row r="267" spans="1:18" ht="24" x14ac:dyDescent="0.25">
      <c r="A267" s="212" t="s">
        <v>510</v>
      </c>
      <c r="B267" s="213">
        <v>28</v>
      </c>
      <c r="C267" s="214" t="s">
        <v>797</v>
      </c>
      <c r="D267" s="215">
        <v>469880009015</v>
      </c>
      <c r="E267" s="216">
        <v>1009.62</v>
      </c>
      <c r="F267" s="216">
        <v>769.6</v>
      </c>
      <c r="G267" s="216">
        <v>4</v>
      </c>
      <c r="H267" s="216" t="s">
        <v>550</v>
      </c>
      <c r="I267" s="216" t="s">
        <v>513</v>
      </c>
      <c r="J267" s="216">
        <v>1988</v>
      </c>
      <c r="K267" s="216">
        <v>14</v>
      </c>
      <c r="L267" s="213">
        <v>0</v>
      </c>
      <c r="M267" s="216">
        <v>14</v>
      </c>
      <c r="N267" s="213">
        <v>0</v>
      </c>
      <c r="O267" s="213" t="s">
        <v>406</v>
      </c>
      <c r="P267" s="213"/>
      <c r="Q267" s="213"/>
      <c r="R267" s="213"/>
    </row>
    <row r="268" spans="1:18" ht="24" x14ac:dyDescent="0.25">
      <c r="A268" s="212" t="s">
        <v>510</v>
      </c>
      <c r="B268" s="213">
        <v>29</v>
      </c>
      <c r="C268" s="214" t="s">
        <v>798</v>
      </c>
      <c r="D268" s="215">
        <v>469930002026</v>
      </c>
      <c r="E268" s="216">
        <v>606.09</v>
      </c>
      <c r="F268" s="216">
        <v>475.58</v>
      </c>
      <c r="G268" s="216">
        <v>4</v>
      </c>
      <c r="H268" s="216" t="s">
        <v>527</v>
      </c>
      <c r="I268" s="216" t="s">
        <v>513</v>
      </c>
      <c r="J268" s="216">
        <v>1993</v>
      </c>
      <c r="K268" s="216">
        <v>8</v>
      </c>
      <c r="L268" s="213">
        <v>0</v>
      </c>
      <c r="M268" s="216">
        <v>8</v>
      </c>
      <c r="N268" s="213">
        <v>0</v>
      </c>
      <c r="O268" s="213" t="s">
        <v>406</v>
      </c>
      <c r="P268" s="213"/>
      <c r="Q268" s="213"/>
      <c r="R268" s="213"/>
    </row>
    <row r="269" spans="1:18" ht="24" x14ac:dyDescent="0.25">
      <c r="A269" s="212" t="s">
        <v>510</v>
      </c>
      <c r="B269" s="213">
        <v>30</v>
      </c>
      <c r="C269" s="214" t="s">
        <v>799</v>
      </c>
      <c r="D269" s="215">
        <v>469930002037</v>
      </c>
      <c r="E269" s="216">
        <v>600.69000000000005</v>
      </c>
      <c r="F269" s="216">
        <v>471.72</v>
      </c>
      <c r="G269" s="216">
        <v>4</v>
      </c>
      <c r="H269" s="216" t="s">
        <v>527</v>
      </c>
      <c r="I269" s="216" t="s">
        <v>513</v>
      </c>
      <c r="J269" s="216">
        <v>1993</v>
      </c>
      <c r="K269" s="216">
        <v>8</v>
      </c>
      <c r="L269" s="213">
        <v>0</v>
      </c>
      <c r="M269" s="216">
        <v>8</v>
      </c>
      <c r="N269" s="213">
        <v>0</v>
      </c>
      <c r="O269" s="213" t="s">
        <v>406</v>
      </c>
      <c r="P269" s="213"/>
      <c r="Q269" s="213"/>
      <c r="R269" s="213"/>
    </row>
    <row r="270" spans="1:18" ht="24" x14ac:dyDescent="0.25">
      <c r="A270" s="212" t="s">
        <v>510</v>
      </c>
      <c r="B270" s="213">
        <v>31</v>
      </c>
      <c r="C270" s="214" t="s">
        <v>800</v>
      </c>
      <c r="D270" s="215">
        <v>469930002015</v>
      </c>
      <c r="E270" s="216">
        <v>2210.06</v>
      </c>
      <c r="F270" s="216">
        <v>2002.84</v>
      </c>
      <c r="G270" s="216">
        <v>10</v>
      </c>
      <c r="H270" s="216" t="s">
        <v>527</v>
      </c>
      <c r="I270" s="216" t="s">
        <v>542</v>
      </c>
      <c r="J270" s="216">
        <v>1993</v>
      </c>
      <c r="K270" s="216">
        <v>38</v>
      </c>
      <c r="L270" s="213">
        <v>0</v>
      </c>
      <c r="M270" s="216">
        <v>38</v>
      </c>
      <c r="N270" s="213">
        <v>0</v>
      </c>
      <c r="O270" s="213" t="s">
        <v>406</v>
      </c>
      <c r="P270" s="213"/>
      <c r="Q270" s="213"/>
      <c r="R270" s="213"/>
    </row>
    <row r="271" spans="1:18" ht="24" x14ac:dyDescent="0.25">
      <c r="A271" s="212" t="s">
        <v>510</v>
      </c>
      <c r="B271" s="213">
        <v>32</v>
      </c>
      <c r="C271" s="214" t="s">
        <v>801</v>
      </c>
      <c r="D271" s="215">
        <v>469910003014</v>
      </c>
      <c r="E271" s="216">
        <v>2834.84</v>
      </c>
      <c r="F271" s="216">
        <v>2355.3200000000002</v>
      </c>
      <c r="G271" s="216">
        <v>5</v>
      </c>
      <c r="H271" s="216" t="s">
        <v>523</v>
      </c>
      <c r="I271" s="216" t="s">
        <v>524</v>
      </c>
      <c r="J271" s="216">
        <v>1991</v>
      </c>
      <c r="K271" s="216">
        <v>35</v>
      </c>
      <c r="L271" s="213">
        <v>0</v>
      </c>
      <c r="M271" s="216">
        <v>35</v>
      </c>
      <c r="N271" s="213">
        <v>0</v>
      </c>
      <c r="O271" s="213" t="s">
        <v>406</v>
      </c>
      <c r="P271" s="213">
        <v>302464963</v>
      </c>
      <c r="Q271" s="213" t="s">
        <v>802</v>
      </c>
      <c r="R271" s="213" t="s">
        <v>801</v>
      </c>
    </row>
    <row r="272" spans="1:18" ht="24" x14ac:dyDescent="0.25">
      <c r="A272" s="212" t="s">
        <v>510</v>
      </c>
      <c r="B272" s="213">
        <v>33</v>
      </c>
      <c r="C272" s="214" t="s">
        <v>803</v>
      </c>
      <c r="D272" s="215">
        <v>469900001015</v>
      </c>
      <c r="E272" s="216">
        <v>2992.64</v>
      </c>
      <c r="F272" s="216">
        <v>2335.59</v>
      </c>
      <c r="G272" s="216">
        <v>5</v>
      </c>
      <c r="H272" s="216" t="s">
        <v>518</v>
      </c>
      <c r="I272" s="216" t="s">
        <v>542</v>
      </c>
      <c r="J272" s="216">
        <v>1990</v>
      </c>
      <c r="K272" s="216">
        <v>45</v>
      </c>
      <c r="L272" s="216">
        <v>0</v>
      </c>
      <c r="M272" s="216">
        <v>45</v>
      </c>
      <c r="N272" s="216">
        <v>0</v>
      </c>
      <c r="O272" s="213" t="s">
        <v>406</v>
      </c>
      <c r="P272" s="213"/>
      <c r="Q272" s="213"/>
      <c r="R272" s="213"/>
    </row>
    <row r="273" spans="1:18" ht="24" x14ac:dyDescent="0.25">
      <c r="A273" s="212" t="s">
        <v>510</v>
      </c>
      <c r="B273" s="213">
        <v>34</v>
      </c>
      <c r="C273" s="214" t="s">
        <v>804</v>
      </c>
      <c r="D273" s="215">
        <v>469940003017</v>
      </c>
      <c r="E273" s="216">
        <v>1829.5</v>
      </c>
      <c r="F273" s="216">
        <v>1400.95</v>
      </c>
      <c r="G273" s="216">
        <v>4</v>
      </c>
      <c r="H273" s="216" t="s">
        <v>550</v>
      </c>
      <c r="I273" s="216" t="s">
        <v>513</v>
      </c>
      <c r="J273" s="216">
        <v>1994</v>
      </c>
      <c r="K273" s="216">
        <v>21</v>
      </c>
      <c r="L273" s="213">
        <v>0</v>
      </c>
      <c r="M273" s="216">
        <v>20</v>
      </c>
      <c r="N273" s="213">
        <v>0</v>
      </c>
      <c r="O273" s="213" t="s">
        <v>406</v>
      </c>
      <c r="P273" s="213">
        <v>157046018</v>
      </c>
      <c r="Q273" s="213" t="s">
        <v>805</v>
      </c>
      <c r="R273" s="213" t="s">
        <v>804</v>
      </c>
    </row>
    <row r="274" spans="1:18" ht="24" x14ac:dyDescent="0.25">
      <c r="A274" s="212" t="s">
        <v>510</v>
      </c>
      <c r="B274" s="213">
        <v>35</v>
      </c>
      <c r="C274" s="214" t="s">
        <v>806</v>
      </c>
      <c r="D274" s="215">
        <v>469760019010</v>
      </c>
      <c r="E274" s="216">
        <v>4265.22</v>
      </c>
      <c r="F274" s="216">
        <v>3209.56</v>
      </c>
      <c r="G274" s="216">
        <v>4</v>
      </c>
      <c r="H274" s="216" t="s">
        <v>527</v>
      </c>
      <c r="I274" s="216" t="s">
        <v>542</v>
      </c>
      <c r="J274" s="216">
        <v>1976</v>
      </c>
      <c r="K274" s="216">
        <v>60</v>
      </c>
      <c r="L274" s="213">
        <v>0</v>
      </c>
      <c r="M274" s="216">
        <v>60</v>
      </c>
      <c r="N274" s="213">
        <v>0</v>
      </c>
      <c r="O274" s="213" t="s">
        <v>406</v>
      </c>
      <c r="P274" s="213"/>
      <c r="Q274" s="213"/>
      <c r="R274" s="213"/>
    </row>
    <row r="275" spans="1:18" ht="24" x14ac:dyDescent="0.25">
      <c r="A275" s="212" t="s">
        <v>510</v>
      </c>
      <c r="B275" s="213">
        <v>36</v>
      </c>
      <c r="C275" s="214" t="s">
        <v>807</v>
      </c>
      <c r="D275" s="215">
        <v>469760014012</v>
      </c>
      <c r="E275" s="216">
        <v>1567.41</v>
      </c>
      <c r="F275" s="216">
        <v>1235.7</v>
      </c>
      <c r="G275" s="216">
        <v>5</v>
      </c>
      <c r="H275" s="216" t="s">
        <v>550</v>
      </c>
      <c r="I275" s="216" t="s">
        <v>524</v>
      </c>
      <c r="J275" s="216">
        <v>1976</v>
      </c>
      <c r="K275" s="216">
        <v>20</v>
      </c>
      <c r="L275" s="213">
        <v>0</v>
      </c>
      <c r="M275" s="216">
        <v>20</v>
      </c>
      <c r="N275" s="213">
        <v>0</v>
      </c>
      <c r="O275" s="213" t="s">
        <v>406</v>
      </c>
      <c r="P275" s="213"/>
      <c r="Q275" s="213"/>
      <c r="R275" s="213"/>
    </row>
    <row r="276" spans="1:18" ht="24" x14ac:dyDescent="0.25">
      <c r="A276" s="212" t="s">
        <v>510</v>
      </c>
      <c r="B276" s="213">
        <v>37</v>
      </c>
      <c r="C276" s="214" t="s">
        <v>808</v>
      </c>
      <c r="D276" s="217">
        <v>469800023014</v>
      </c>
      <c r="E276" s="214">
        <v>2806.88</v>
      </c>
      <c r="F276" s="214">
        <v>2296.83</v>
      </c>
      <c r="G276" s="214">
        <v>5</v>
      </c>
      <c r="H276" s="214" t="s">
        <v>512</v>
      </c>
      <c r="I276" s="214" t="s">
        <v>513</v>
      </c>
      <c r="J276" s="214">
        <v>1980</v>
      </c>
      <c r="K276" s="214">
        <v>45</v>
      </c>
      <c r="L276" s="218">
        <v>0</v>
      </c>
      <c r="M276" s="214">
        <v>45</v>
      </c>
      <c r="N276" s="218">
        <v>0</v>
      </c>
      <c r="O276" s="213" t="s">
        <v>406</v>
      </c>
      <c r="P276" s="218"/>
      <c r="Q276" s="218"/>
      <c r="R276" s="218"/>
    </row>
    <row r="277" spans="1:18" ht="24" x14ac:dyDescent="0.25">
      <c r="A277" s="212" t="s">
        <v>510</v>
      </c>
      <c r="B277" s="213">
        <v>38</v>
      </c>
      <c r="C277" s="214" t="s">
        <v>809</v>
      </c>
      <c r="D277" s="217">
        <v>469800024018</v>
      </c>
      <c r="E277" s="214">
        <v>2782.75</v>
      </c>
      <c r="F277" s="214">
        <v>2328.58</v>
      </c>
      <c r="G277" s="214">
        <v>5</v>
      </c>
      <c r="H277" s="214" t="s">
        <v>512</v>
      </c>
      <c r="I277" s="214" t="s">
        <v>513</v>
      </c>
      <c r="J277" s="214">
        <v>1980</v>
      </c>
      <c r="K277" s="214">
        <v>45</v>
      </c>
      <c r="L277" s="218">
        <v>0</v>
      </c>
      <c r="M277" s="214">
        <v>45</v>
      </c>
      <c r="N277" s="218">
        <v>0</v>
      </c>
      <c r="O277" s="213" t="s">
        <v>406</v>
      </c>
      <c r="P277" s="218"/>
      <c r="Q277" s="218"/>
      <c r="R277" s="218"/>
    </row>
    <row r="278" spans="1:18" ht="24" x14ac:dyDescent="0.25">
      <c r="A278" s="212" t="s">
        <v>510</v>
      </c>
      <c r="B278" s="213">
        <v>39</v>
      </c>
      <c r="C278" s="214" t="s">
        <v>810</v>
      </c>
      <c r="D278" s="217">
        <v>469780029015</v>
      </c>
      <c r="E278" s="214">
        <v>4827.55</v>
      </c>
      <c r="F278" s="214">
        <v>3938.3</v>
      </c>
      <c r="G278" s="214">
        <v>5</v>
      </c>
      <c r="H278" s="214" t="s">
        <v>518</v>
      </c>
      <c r="I278" s="214" t="s">
        <v>519</v>
      </c>
      <c r="J278" s="214">
        <v>1978</v>
      </c>
      <c r="K278" s="214">
        <v>74</v>
      </c>
      <c r="L278" s="218">
        <v>1</v>
      </c>
      <c r="M278" s="214">
        <v>74</v>
      </c>
      <c r="N278" s="218">
        <v>1</v>
      </c>
      <c r="O278" s="213" t="s">
        <v>406</v>
      </c>
      <c r="P278" s="218"/>
      <c r="Q278" s="218"/>
      <c r="R278" s="218"/>
    </row>
    <row r="279" spans="1:18" ht="24" x14ac:dyDescent="0.25">
      <c r="A279" s="212" t="s">
        <v>510</v>
      </c>
      <c r="B279" s="213">
        <v>40</v>
      </c>
      <c r="C279" s="214" t="s">
        <v>811</v>
      </c>
      <c r="D279" s="215">
        <v>469790001016</v>
      </c>
      <c r="E279" s="216">
        <v>2749</v>
      </c>
      <c r="F279" s="216">
        <v>2278.2800000000002</v>
      </c>
      <c r="G279" s="216">
        <v>5</v>
      </c>
      <c r="H279" s="216" t="s">
        <v>527</v>
      </c>
      <c r="I279" s="216" t="s">
        <v>513</v>
      </c>
      <c r="J279" s="216">
        <v>1979</v>
      </c>
      <c r="K279" s="216">
        <v>40</v>
      </c>
      <c r="L279" s="213">
        <v>0</v>
      </c>
      <c r="M279" s="216">
        <v>40</v>
      </c>
      <c r="N279" s="213">
        <v>0</v>
      </c>
      <c r="O279" s="213" t="s">
        <v>406</v>
      </c>
      <c r="P279" s="213"/>
      <c r="Q279" s="213"/>
      <c r="R279" s="213"/>
    </row>
    <row r="280" spans="1:18" ht="24" x14ac:dyDescent="0.25">
      <c r="A280" s="212" t="s">
        <v>510</v>
      </c>
      <c r="B280" s="213">
        <v>41</v>
      </c>
      <c r="C280" s="214" t="s">
        <v>812</v>
      </c>
      <c r="D280" s="215">
        <v>469920002010</v>
      </c>
      <c r="E280" s="216">
        <v>2859.02</v>
      </c>
      <c r="F280" s="216">
        <v>2351.9</v>
      </c>
      <c r="G280" s="216">
        <v>5</v>
      </c>
      <c r="H280" s="216" t="s">
        <v>518</v>
      </c>
      <c r="I280" s="216" t="s">
        <v>542</v>
      </c>
      <c r="J280" s="216">
        <v>1992</v>
      </c>
      <c r="K280" s="216">
        <v>45</v>
      </c>
      <c r="L280" s="213">
        <v>0</v>
      </c>
      <c r="M280" s="216">
        <v>45</v>
      </c>
      <c r="N280" s="213">
        <v>0</v>
      </c>
      <c r="O280" s="213" t="s">
        <v>406</v>
      </c>
      <c r="P280" s="213"/>
      <c r="Q280" s="213"/>
      <c r="R280" s="213"/>
    </row>
    <row r="281" spans="1:18" ht="24" x14ac:dyDescent="0.25">
      <c r="A281" s="212" t="s">
        <v>510</v>
      </c>
      <c r="B281" s="213">
        <v>42</v>
      </c>
      <c r="C281" s="214" t="s">
        <v>813</v>
      </c>
      <c r="D281" s="215">
        <v>469920061013</v>
      </c>
      <c r="E281" s="216">
        <v>3108.64</v>
      </c>
      <c r="F281" s="216">
        <v>2583.42</v>
      </c>
      <c r="G281" s="216">
        <v>5</v>
      </c>
      <c r="H281" s="216" t="s">
        <v>527</v>
      </c>
      <c r="I281" s="216" t="s">
        <v>542</v>
      </c>
      <c r="J281" s="216">
        <v>1992</v>
      </c>
      <c r="K281" s="216">
        <v>40</v>
      </c>
      <c r="L281" s="213">
        <v>0</v>
      </c>
      <c r="M281" s="216">
        <v>40</v>
      </c>
      <c r="N281" s="213">
        <v>0</v>
      </c>
      <c r="O281" s="213" t="s">
        <v>406</v>
      </c>
      <c r="P281" s="213"/>
      <c r="Q281" s="213"/>
      <c r="R281" s="213"/>
    </row>
    <row r="282" spans="1:18" ht="24" x14ac:dyDescent="0.25">
      <c r="A282" s="212" t="s">
        <v>510</v>
      </c>
      <c r="B282" s="213">
        <v>43</v>
      </c>
      <c r="C282" s="214" t="s">
        <v>814</v>
      </c>
      <c r="D282" s="215">
        <v>469890010019</v>
      </c>
      <c r="E282" s="216">
        <v>1393.14</v>
      </c>
      <c r="F282" s="216">
        <v>1167.74</v>
      </c>
      <c r="G282" s="216">
        <v>6</v>
      </c>
      <c r="H282" s="216" t="s">
        <v>527</v>
      </c>
      <c r="I282" s="216" t="s">
        <v>542</v>
      </c>
      <c r="J282" s="216">
        <v>1989</v>
      </c>
      <c r="K282" s="216">
        <v>22</v>
      </c>
      <c r="L282" s="213">
        <v>0</v>
      </c>
      <c r="M282" s="216">
        <v>22</v>
      </c>
      <c r="N282" s="213">
        <v>0</v>
      </c>
      <c r="O282" s="213" t="s">
        <v>406</v>
      </c>
      <c r="P282" s="213"/>
      <c r="Q282" s="213"/>
      <c r="R282" s="213"/>
    </row>
    <row r="283" spans="1:18" ht="24" x14ac:dyDescent="0.25">
      <c r="A283" s="212" t="s">
        <v>510</v>
      </c>
      <c r="B283" s="213">
        <v>44</v>
      </c>
      <c r="C283" s="214" t="s">
        <v>815</v>
      </c>
      <c r="D283" s="215">
        <v>469890011016</v>
      </c>
      <c r="E283" s="216">
        <v>1236.0999999999999</v>
      </c>
      <c r="F283" s="216">
        <v>1003.18</v>
      </c>
      <c r="G283" s="216">
        <v>5</v>
      </c>
      <c r="H283" s="216" t="s">
        <v>527</v>
      </c>
      <c r="I283" s="216" t="s">
        <v>513</v>
      </c>
      <c r="J283" s="216">
        <v>1989</v>
      </c>
      <c r="K283" s="216">
        <v>18</v>
      </c>
      <c r="L283" s="213">
        <v>0</v>
      </c>
      <c r="M283" s="216">
        <v>18</v>
      </c>
      <c r="N283" s="213">
        <v>0</v>
      </c>
      <c r="O283" s="213" t="s">
        <v>406</v>
      </c>
      <c r="P283" s="213"/>
      <c r="Q283" s="213"/>
      <c r="R283" s="213"/>
    </row>
    <row r="284" spans="1:18" ht="24" x14ac:dyDescent="0.25">
      <c r="A284" s="212" t="s">
        <v>510</v>
      </c>
      <c r="B284" s="213">
        <v>45</v>
      </c>
      <c r="C284" s="214" t="s">
        <v>816</v>
      </c>
      <c r="D284" s="215">
        <v>469790003010</v>
      </c>
      <c r="E284" s="216">
        <v>2759.04</v>
      </c>
      <c r="F284" s="216">
        <v>2193.3200000000002</v>
      </c>
      <c r="G284" s="216">
        <v>5</v>
      </c>
      <c r="H284" s="216" t="s">
        <v>527</v>
      </c>
      <c r="I284" s="216" t="s">
        <v>542</v>
      </c>
      <c r="J284" s="216">
        <v>1979</v>
      </c>
      <c r="K284" s="216">
        <v>0</v>
      </c>
      <c r="L284" s="213">
        <v>0</v>
      </c>
      <c r="M284" s="216">
        <v>39</v>
      </c>
      <c r="N284" s="213">
        <v>1</v>
      </c>
      <c r="O284" s="213" t="s">
        <v>406</v>
      </c>
      <c r="P284" s="213"/>
      <c r="Q284" s="213"/>
      <c r="R284" s="213"/>
    </row>
    <row r="285" spans="1:18" ht="24" x14ac:dyDescent="0.25">
      <c r="A285" s="212" t="s">
        <v>510</v>
      </c>
      <c r="B285" s="213">
        <v>46</v>
      </c>
      <c r="C285" s="214" t="s">
        <v>817</v>
      </c>
      <c r="D285" s="217">
        <v>469730008013</v>
      </c>
      <c r="E285" s="214">
        <v>2807.69</v>
      </c>
      <c r="F285" s="214">
        <v>2331.75</v>
      </c>
      <c r="G285" s="214">
        <v>5</v>
      </c>
      <c r="H285" s="214" t="s">
        <v>518</v>
      </c>
      <c r="I285" s="214" t="s">
        <v>542</v>
      </c>
      <c r="J285" s="214">
        <v>1973</v>
      </c>
      <c r="K285" s="214">
        <v>45</v>
      </c>
      <c r="L285" s="218">
        <v>0</v>
      </c>
      <c r="M285" s="214">
        <v>45</v>
      </c>
      <c r="N285" s="218">
        <v>0</v>
      </c>
      <c r="O285" s="213" t="s">
        <v>406</v>
      </c>
      <c r="P285" s="218"/>
      <c r="Q285" s="218"/>
      <c r="R285" s="218"/>
    </row>
    <row r="286" spans="1:18" ht="24" x14ac:dyDescent="0.25">
      <c r="A286" s="212" t="s">
        <v>510</v>
      </c>
      <c r="B286" s="213">
        <v>47</v>
      </c>
      <c r="C286" s="214" t="s">
        <v>818</v>
      </c>
      <c r="D286" s="215">
        <v>469710017014</v>
      </c>
      <c r="E286" s="216">
        <v>1553.82</v>
      </c>
      <c r="F286" s="216">
        <v>1300.58</v>
      </c>
      <c r="G286" s="216">
        <v>5</v>
      </c>
      <c r="H286" s="216" t="s">
        <v>527</v>
      </c>
      <c r="I286" s="216" t="s">
        <v>542</v>
      </c>
      <c r="J286" s="216">
        <v>1971</v>
      </c>
      <c r="K286" s="216">
        <v>20</v>
      </c>
      <c r="L286" s="213">
        <v>0</v>
      </c>
      <c r="M286" s="216">
        <v>20</v>
      </c>
      <c r="N286" s="213">
        <v>0</v>
      </c>
      <c r="O286" s="213" t="s">
        <v>406</v>
      </c>
      <c r="P286" s="213"/>
      <c r="Q286" s="213"/>
      <c r="R286" s="213"/>
    </row>
    <row r="287" spans="1:18" ht="24" x14ac:dyDescent="0.25">
      <c r="A287" s="212" t="s">
        <v>510</v>
      </c>
      <c r="B287" s="213">
        <v>48</v>
      </c>
      <c r="C287" s="214" t="s">
        <v>819</v>
      </c>
      <c r="D287" s="217">
        <v>469940014010</v>
      </c>
      <c r="E287" s="214">
        <v>2481.7600000000002</v>
      </c>
      <c r="F287" s="214">
        <v>2055.66</v>
      </c>
      <c r="G287" s="214">
        <v>5</v>
      </c>
      <c r="H287" s="214" t="s">
        <v>523</v>
      </c>
      <c r="I287" s="214" t="s">
        <v>519</v>
      </c>
      <c r="J287" s="214">
        <v>1994</v>
      </c>
      <c r="K287" s="214">
        <v>40</v>
      </c>
      <c r="L287" s="218">
        <v>0</v>
      </c>
      <c r="M287" s="214">
        <v>40</v>
      </c>
      <c r="N287" s="218">
        <v>0</v>
      </c>
      <c r="O287" s="213" t="s">
        <v>406</v>
      </c>
      <c r="P287" s="218"/>
      <c r="Q287" s="218"/>
      <c r="R287" s="218"/>
    </row>
    <row r="288" spans="1:18" ht="24" x14ac:dyDescent="0.25">
      <c r="A288" s="212" t="s">
        <v>510</v>
      </c>
      <c r="B288" s="213">
        <v>49</v>
      </c>
      <c r="C288" s="214" t="s">
        <v>820</v>
      </c>
      <c r="D288" s="215">
        <v>469860012010</v>
      </c>
      <c r="E288" s="216">
        <v>1827.58</v>
      </c>
      <c r="F288" s="216">
        <v>1510.94</v>
      </c>
      <c r="G288" s="216">
        <v>5</v>
      </c>
      <c r="H288" s="216" t="s">
        <v>512</v>
      </c>
      <c r="I288" s="216" t="s">
        <v>513</v>
      </c>
      <c r="J288" s="216">
        <v>1986</v>
      </c>
      <c r="K288" s="216">
        <v>30</v>
      </c>
      <c r="L288" s="213">
        <v>0</v>
      </c>
      <c r="M288" s="216">
        <v>30</v>
      </c>
      <c r="N288" s="213">
        <v>0</v>
      </c>
      <c r="O288" s="213" t="s">
        <v>406</v>
      </c>
      <c r="P288" s="213"/>
      <c r="Q288" s="213"/>
      <c r="R288" s="213"/>
    </row>
    <row r="289" spans="1:18" ht="24" x14ac:dyDescent="0.25">
      <c r="A289" s="212" t="s">
        <v>510</v>
      </c>
      <c r="B289" s="213">
        <v>50</v>
      </c>
      <c r="C289" s="214" t="s">
        <v>821</v>
      </c>
      <c r="D289" s="215">
        <v>469830009014</v>
      </c>
      <c r="E289" s="216">
        <v>2832.19</v>
      </c>
      <c r="F289" s="216">
        <v>2339.41</v>
      </c>
      <c r="G289" s="216">
        <v>5</v>
      </c>
      <c r="H289" s="216" t="s">
        <v>518</v>
      </c>
      <c r="I289" s="216" t="s">
        <v>513</v>
      </c>
      <c r="J289" s="216">
        <v>1983</v>
      </c>
      <c r="K289" s="216">
        <v>45</v>
      </c>
      <c r="L289" s="213">
        <v>0</v>
      </c>
      <c r="M289" s="216">
        <v>45</v>
      </c>
      <c r="N289" s="213">
        <v>0</v>
      </c>
      <c r="O289" s="213" t="s">
        <v>406</v>
      </c>
      <c r="P289" s="213"/>
      <c r="Q289" s="213"/>
      <c r="R289" s="213"/>
    </row>
    <row r="290" spans="1:18" ht="24" x14ac:dyDescent="0.25">
      <c r="A290" s="212" t="s">
        <v>510</v>
      </c>
      <c r="B290" s="213">
        <v>51</v>
      </c>
      <c r="C290" s="214" t="s">
        <v>822</v>
      </c>
      <c r="D290" s="215">
        <v>469920005013</v>
      </c>
      <c r="E290" s="216">
        <v>1415.38</v>
      </c>
      <c r="F290" s="216">
        <v>1184.8699999999999</v>
      </c>
      <c r="G290" s="216">
        <v>6</v>
      </c>
      <c r="H290" s="216" t="s">
        <v>527</v>
      </c>
      <c r="I290" s="216" t="s">
        <v>513</v>
      </c>
      <c r="J290" s="216">
        <v>1992</v>
      </c>
      <c r="K290" s="216">
        <v>22</v>
      </c>
      <c r="L290" s="213">
        <v>0</v>
      </c>
      <c r="M290" s="216">
        <v>22</v>
      </c>
      <c r="N290" s="213">
        <v>0</v>
      </c>
      <c r="O290" s="213" t="s">
        <v>406</v>
      </c>
      <c r="P290" s="213"/>
      <c r="Q290" s="213"/>
      <c r="R290" s="213"/>
    </row>
    <row r="291" spans="1:18" ht="24" x14ac:dyDescent="0.25">
      <c r="A291" s="212" t="s">
        <v>510</v>
      </c>
      <c r="B291" s="213">
        <v>52</v>
      </c>
      <c r="C291" s="214" t="s">
        <v>823</v>
      </c>
      <c r="D291" s="215">
        <v>469830006011</v>
      </c>
      <c r="E291" s="216">
        <v>3305.69</v>
      </c>
      <c r="F291" s="216">
        <v>2988.75</v>
      </c>
      <c r="G291" s="216">
        <v>9</v>
      </c>
      <c r="H291" s="216" t="s">
        <v>512</v>
      </c>
      <c r="I291" s="216" t="s">
        <v>513</v>
      </c>
      <c r="J291" s="216">
        <v>1983</v>
      </c>
      <c r="K291" s="216">
        <v>54</v>
      </c>
      <c r="L291" s="213">
        <v>0</v>
      </c>
      <c r="M291" s="216">
        <v>54</v>
      </c>
      <c r="N291" s="213">
        <v>0</v>
      </c>
      <c r="O291" s="213" t="s">
        <v>406</v>
      </c>
      <c r="P291" s="213"/>
      <c r="Q291" s="213"/>
      <c r="R291" s="213"/>
    </row>
    <row r="292" spans="1:18" ht="24" x14ac:dyDescent="0.25">
      <c r="A292" s="212" t="s">
        <v>510</v>
      </c>
      <c r="B292" s="213">
        <v>53</v>
      </c>
      <c r="C292" s="214" t="s">
        <v>824</v>
      </c>
      <c r="D292" s="217">
        <v>469720008014</v>
      </c>
      <c r="E292" s="214">
        <v>3245.31</v>
      </c>
      <c r="F292" s="214">
        <v>2701.09</v>
      </c>
      <c r="G292" s="214">
        <v>5</v>
      </c>
      <c r="H292" s="214" t="s">
        <v>512</v>
      </c>
      <c r="I292" s="214" t="s">
        <v>524</v>
      </c>
      <c r="J292" s="214">
        <v>1972</v>
      </c>
      <c r="K292" s="214">
        <v>60</v>
      </c>
      <c r="L292" s="218">
        <v>0</v>
      </c>
      <c r="M292" s="214">
        <v>60</v>
      </c>
      <c r="N292" s="218">
        <v>0</v>
      </c>
      <c r="O292" s="213" t="s">
        <v>406</v>
      </c>
      <c r="P292" s="218"/>
      <c r="Q292" s="218"/>
      <c r="R292" s="218"/>
    </row>
    <row r="293" spans="1:18" ht="24" x14ac:dyDescent="0.25">
      <c r="A293" s="212" t="s">
        <v>510</v>
      </c>
      <c r="B293" s="213">
        <v>54</v>
      </c>
      <c r="C293" s="214" t="s">
        <v>825</v>
      </c>
      <c r="D293" s="217">
        <v>469740012010</v>
      </c>
      <c r="E293" s="214">
        <v>2777.45</v>
      </c>
      <c r="F293" s="214">
        <v>2326.6999999999998</v>
      </c>
      <c r="G293" s="214">
        <v>5</v>
      </c>
      <c r="H293" s="214" t="s">
        <v>512</v>
      </c>
      <c r="I293" s="214" t="s">
        <v>513</v>
      </c>
      <c r="J293" s="214">
        <v>1974</v>
      </c>
      <c r="K293" s="214">
        <v>45</v>
      </c>
      <c r="L293" s="218">
        <v>0</v>
      </c>
      <c r="M293" s="214">
        <v>45</v>
      </c>
      <c r="N293" s="218">
        <v>0</v>
      </c>
      <c r="O293" s="213" t="s">
        <v>406</v>
      </c>
      <c r="P293" s="218"/>
      <c r="Q293" s="218"/>
      <c r="R293" s="218"/>
    </row>
    <row r="294" spans="1:18" ht="24" x14ac:dyDescent="0.25">
      <c r="A294" s="212" t="s">
        <v>510</v>
      </c>
      <c r="B294" s="213">
        <v>55</v>
      </c>
      <c r="C294" s="214" t="s">
        <v>826</v>
      </c>
      <c r="D294" s="217">
        <v>469710013014</v>
      </c>
      <c r="E294" s="214">
        <v>1558.66</v>
      </c>
      <c r="F294" s="214">
        <v>1299.22</v>
      </c>
      <c r="G294" s="214">
        <v>5</v>
      </c>
      <c r="H294" s="214" t="s">
        <v>527</v>
      </c>
      <c r="I294" s="214" t="s">
        <v>513</v>
      </c>
      <c r="J294" s="214">
        <v>1971</v>
      </c>
      <c r="K294" s="214">
        <v>20</v>
      </c>
      <c r="L294" s="218">
        <v>0</v>
      </c>
      <c r="M294" s="214">
        <v>20</v>
      </c>
      <c r="N294" s="218">
        <v>0</v>
      </c>
      <c r="O294" s="213" t="s">
        <v>406</v>
      </c>
      <c r="P294" s="218"/>
      <c r="Q294" s="218"/>
      <c r="R294" s="218"/>
    </row>
    <row r="295" spans="1:18" ht="24" x14ac:dyDescent="0.25">
      <c r="A295" s="212" t="s">
        <v>510</v>
      </c>
      <c r="B295" s="213">
        <v>56</v>
      </c>
      <c r="C295" s="214" t="s">
        <v>827</v>
      </c>
      <c r="D295" s="215">
        <v>469740013017</v>
      </c>
      <c r="E295" s="216">
        <v>2799.9</v>
      </c>
      <c r="F295" s="216">
        <v>2294.06</v>
      </c>
      <c r="G295" s="216">
        <v>5</v>
      </c>
      <c r="H295" s="216" t="s">
        <v>523</v>
      </c>
      <c r="I295" s="216" t="s">
        <v>524</v>
      </c>
      <c r="J295" s="216">
        <v>1974</v>
      </c>
      <c r="K295" s="216">
        <v>44</v>
      </c>
      <c r="L295" s="213">
        <v>1</v>
      </c>
      <c r="M295" s="216">
        <v>44</v>
      </c>
      <c r="N295" s="213">
        <v>1</v>
      </c>
      <c r="O295" s="213" t="s">
        <v>406</v>
      </c>
      <c r="P295" s="213"/>
      <c r="Q295" s="213"/>
      <c r="R295" s="213"/>
    </row>
    <row r="296" spans="1:18" ht="24" x14ac:dyDescent="0.25">
      <c r="A296" s="212" t="s">
        <v>510</v>
      </c>
      <c r="B296" s="213">
        <v>57</v>
      </c>
      <c r="C296" s="214" t="s">
        <v>828</v>
      </c>
      <c r="D296" s="215">
        <v>469960007015</v>
      </c>
      <c r="E296" s="216">
        <v>2837.53</v>
      </c>
      <c r="F296" s="216">
        <v>2342.5500000000002</v>
      </c>
      <c r="G296" s="216">
        <v>5</v>
      </c>
      <c r="H296" s="216" t="s">
        <v>527</v>
      </c>
      <c r="I296" s="216" t="s">
        <v>513</v>
      </c>
      <c r="J296" s="216">
        <v>1996</v>
      </c>
      <c r="K296" s="216">
        <v>45</v>
      </c>
      <c r="L296" s="213">
        <v>0</v>
      </c>
      <c r="M296" s="216">
        <v>45</v>
      </c>
      <c r="N296" s="213">
        <v>0</v>
      </c>
      <c r="O296" s="213" t="s">
        <v>406</v>
      </c>
      <c r="P296" s="213"/>
      <c r="Q296" s="213"/>
      <c r="R296" s="213"/>
    </row>
    <row r="297" spans="1:18" ht="24" x14ac:dyDescent="0.25">
      <c r="A297" s="212" t="s">
        <v>510</v>
      </c>
      <c r="B297" s="213">
        <v>58</v>
      </c>
      <c r="C297" s="214" t="s">
        <v>829</v>
      </c>
      <c r="D297" s="215">
        <v>469880038018</v>
      </c>
      <c r="E297" s="216">
        <v>1458.17</v>
      </c>
      <c r="F297" s="216">
        <v>1235.92</v>
      </c>
      <c r="G297" s="216">
        <v>6</v>
      </c>
      <c r="H297" s="216" t="s">
        <v>527</v>
      </c>
      <c r="I297" s="216" t="s">
        <v>542</v>
      </c>
      <c r="J297" s="216">
        <v>1988</v>
      </c>
      <c r="K297" s="216">
        <v>0</v>
      </c>
      <c r="L297" s="213">
        <v>0</v>
      </c>
      <c r="M297" s="216">
        <v>22</v>
      </c>
      <c r="N297" s="213">
        <v>0</v>
      </c>
      <c r="O297" s="213" t="s">
        <v>406</v>
      </c>
      <c r="P297" s="213"/>
      <c r="Q297" s="213"/>
      <c r="R297" s="213"/>
    </row>
    <row r="298" spans="1:18" ht="24.75" thickBot="1" x14ac:dyDescent="0.3">
      <c r="A298" s="223" t="s">
        <v>510</v>
      </c>
      <c r="B298" s="224">
        <v>59</v>
      </c>
      <c r="C298" s="225" t="s">
        <v>830</v>
      </c>
      <c r="D298" s="230">
        <v>469790010015</v>
      </c>
      <c r="E298" s="231">
        <v>379.04</v>
      </c>
      <c r="F298" s="231">
        <v>309.70999999999998</v>
      </c>
      <c r="G298" s="231">
        <v>2</v>
      </c>
      <c r="H298" s="231" t="s">
        <v>550</v>
      </c>
      <c r="I298" s="231" t="s">
        <v>513</v>
      </c>
      <c r="J298" s="231">
        <v>1979</v>
      </c>
      <c r="K298" s="231">
        <v>5</v>
      </c>
      <c r="L298" s="224">
        <v>0</v>
      </c>
      <c r="M298" s="231">
        <v>5</v>
      </c>
      <c r="N298" s="224">
        <v>0</v>
      </c>
      <c r="O298" s="224" t="s">
        <v>831</v>
      </c>
      <c r="P298" s="224">
        <v>33909170168</v>
      </c>
      <c r="Q298" s="224" t="s">
        <v>832</v>
      </c>
      <c r="R298" s="224"/>
    </row>
    <row r="299" spans="1:18" ht="24" x14ac:dyDescent="0.25">
      <c r="A299" s="222" t="s">
        <v>833</v>
      </c>
      <c r="B299" s="218">
        <v>1</v>
      </c>
      <c r="C299" s="214" t="s">
        <v>834</v>
      </c>
      <c r="D299" s="217">
        <v>469760039013</v>
      </c>
      <c r="E299" s="214">
        <v>481.47</v>
      </c>
      <c r="F299" s="214">
        <v>402.31</v>
      </c>
      <c r="G299" s="214">
        <v>2</v>
      </c>
      <c r="H299" s="214" t="s">
        <v>550</v>
      </c>
      <c r="I299" s="214" t="s">
        <v>513</v>
      </c>
      <c r="J299" s="214">
        <v>1976</v>
      </c>
      <c r="K299" s="214">
        <v>8</v>
      </c>
      <c r="L299" s="218">
        <v>0</v>
      </c>
      <c r="M299" s="214">
        <v>8</v>
      </c>
      <c r="N299" s="218">
        <v>0</v>
      </c>
      <c r="O299" s="218"/>
      <c r="P299" s="218"/>
      <c r="Q299" s="218"/>
      <c r="R299" s="218"/>
    </row>
    <row r="300" spans="1:18" ht="24" x14ac:dyDescent="0.25">
      <c r="A300" s="222" t="s">
        <v>833</v>
      </c>
      <c r="B300" s="218">
        <v>2</v>
      </c>
      <c r="C300" s="214" t="s">
        <v>835</v>
      </c>
      <c r="D300" s="217">
        <v>469700089011</v>
      </c>
      <c r="E300" s="214">
        <v>2659.76</v>
      </c>
      <c r="F300" s="214">
        <v>2001.87</v>
      </c>
      <c r="G300" s="214">
        <v>5</v>
      </c>
      <c r="H300" s="214" t="s">
        <v>527</v>
      </c>
      <c r="I300" s="214" t="s">
        <v>542</v>
      </c>
      <c r="J300" s="214">
        <v>1970</v>
      </c>
      <c r="K300" s="214">
        <v>44</v>
      </c>
      <c r="L300" s="218">
        <v>1</v>
      </c>
      <c r="M300" s="214">
        <v>44</v>
      </c>
      <c r="N300" s="218">
        <v>1</v>
      </c>
      <c r="O300" s="213" t="s">
        <v>514</v>
      </c>
      <c r="P300" s="218">
        <v>156916523</v>
      </c>
      <c r="Q300" s="218" t="s">
        <v>515</v>
      </c>
      <c r="R300" s="218" t="s">
        <v>516</v>
      </c>
    </row>
    <row r="301" spans="1:18" ht="24" x14ac:dyDescent="0.25">
      <c r="A301" s="222" t="s">
        <v>833</v>
      </c>
      <c r="B301" s="218">
        <v>3</v>
      </c>
      <c r="C301" s="214" t="s">
        <v>836</v>
      </c>
      <c r="D301" s="217">
        <v>469720033011</v>
      </c>
      <c r="E301" s="214">
        <v>3396.59</v>
      </c>
      <c r="F301" s="214">
        <v>2704.08</v>
      </c>
      <c r="G301" s="214">
        <v>5</v>
      </c>
      <c r="H301" s="214" t="s">
        <v>518</v>
      </c>
      <c r="I301" s="214" t="s">
        <v>542</v>
      </c>
      <c r="J301" s="214">
        <v>1972</v>
      </c>
      <c r="K301" s="214">
        <v>0</v>
      </c>
      <c r="L301" s="218">
        <v>0</v>
      </c>
      <c r="M301" s="214">
        <v>60</v>
      </c>
      <c r="N301" s="218">
        <v>0</v>
      </c>
      <c r="O301" s="213" t="s">
        <v>514</v>
      </c>
      <c r="P301" s="218">
        <v>156916523</v>
      </c>
      <c r="Q301" s="218" t="s">
        <v>515</v>
      </c>
      <c r="R301" s="218" t="s">
        <v>516</v>
      </c>
    </row>
    <row r="302" spans="1:18" ht="24" x14ac:dyDescent="0.25">
      <c r="A302" s="222" t="s">
        <v>833</v>
      </c>
      <c r="B302" s="218">
        <v>4</v>
      </c>
      <c r="C302" s="214" t="s">
        <v>837</v>
      </c>
      <c r="D302" s="217">
        <v>469710044011</v>
      </c>
      <c r="E302" s="214">
        <v>1836.8</v>
      </c>
      <c r="F302" s="214">
        <v>1636.23</v>
      </c>
      <c r="G302" s="214">
        <v>5</v>
      </c>
      <c r="H302" s="214" t="s">
        <v>550</v>
      </c>
      <c r="I302" s="214" t="s">
        <v>769</v>
      </c>
      <c r="J302" s="214">
        <v>1971</v>
      </c>
      <c r="K302" s="214">
        <v>0</v>
      </c>
      <c r="L302" s="218">
        <v>0</v>
      </c>
      <c r="M302" s="214">
        <v>30</v>
      </c>
      <c r="N302" s="218">
        <v>0</v>
      </c>
      <c r="O302" s="218"/>
      <c r="P302" s="218"/>
      <c r="Q302" s="218"/>
      <c r="R302" s="218"/>
    </row>
    <row r="303" spans="1:18" ht="24" x14ac:dyDescent="0.25">
      <c r="A303" s="222" t="s">
        <v>833</v>
      </c>
      <c r="B303" s="218">
        <v>5</v>
      </c>
      <c r="C303" s="214" t="s">
        <v>838</v>
      </c>
      <c r="D303" s="217">
        <v>469880017017</v>
      </c>
      <c r="E303" s="214">
        <v>821.24</v>
      </c>
      <c r="F303" s="214">
        <v>220.78</v>
      </c>
      <c r="G303" s="214">
        <v>3</v>
      </c>
      <c r="H303" s="214" t="s">
        <v>550</v>
      </c>
      <c r="I303" s="214" t="s">
        <v>513</v>
      </c>
      <c r="J303" s="214">
        <v>1988</v>
      </c>
      <c r="K303" s="214">
        <v>4</v>
      </c>
      <c r="L303" s="218">
        <v>3</v>
      </c>
      <c r="M303" s="214">
        <v>4</v>
      </c>
      <c r="N303" s="218">
        <v>3</v>
      </c>
      <c r="O303" s="213"/>
      <c r="P303" s="218">
        <v>156916523</v>
      </c>
      <c r="Q303" s="218" t="s">
        <v>515</v>
      </c>
      <c r="R303" s="218" t="s">
        <v>516</v>
      </c>
    </row>
    <row r="304" spans="1:18" ht="24" x14ac:dyDescent="0.25">
      <c r="A304" s="222" t="s">
        <v>833</v>
      </c>
      <c r="B304" s="218">
        <v>6</v>
      </c>
      <c r="C304" s="214" t="s">
        <v>839</v>
      </c>
      <c r="D304" s="217">
        <v>469860127010</v>
      </c>
      <c r="E304" s="214">
        <v>1887.93</v>
      </c>
      <c r="F304" s="214">
        <v>1887.93</v>
      </c>
      <c r="G304" s="214">
        <v>5</v>
      </c>
      <c r="H304" s="214" t="s">
        <v>550</v>
      </c>
      <c r="I304" s="214" t="s">
        <v>519</v>
      </c>
      <c r="J304" s="214">
        <v>1986</v>
      </c>
      <c r="K304" s="214">
        <v>45</v>
      </c>
      <c r="L304" s="218">
        <v>0</v>
      </c>
      <c r="M304" s="214">
        <v>45</v>
      </c>
      <c r="N304" s="218">
        <v>0</v>
      </c>
      <c r="O304" s="213" t="s">
        <v>514</v>
      </c>
      <c r="P304" s="218">
        <v>156916523</v>
      </c>
      <c r="Q304" s="218" t="s">
        <v>515</v>
      </c>
      <c r="R304" s="218" t="s">
        <v>516</v>
      </c>
    </row>
    <row r="305" spans="1:18" ht="24" x14ac:dyDescent="0.25">
      <c r="A305" s="222" t="s">
        <v>833</v>
      </c>
      <c r="B305" s="218">
        <v>7</v>
      </c>
      <c r="C305" s="214" t="s">
        <v>840</v>
      </c>
      <c r="D305" s="217">
        <v>469810020011</v>
      </c>
      <c r="E305" s="214">
        <v>4014.39</v>
      </c>
      <c r="F305" s="214">
        <v>4002.7</v>
      </c>
      <c r="G305" s="214">
        <v>5</v>
      </c>
      <c r="H305" s="214" t="s">
        <v>512</v>
      </c>
      <c r="I305" s="214" t="s">
        <v>513</v>
      </c>
      <c r="J305" s="214">
        <v>1981</v>
      </c>
      <c r="K305" s="214">
        <v>75</v>
      </c>
      <c r="L305" s="218">
        <v>0</v>
      </c>
      <c r="M305" s="214">
        <v>75</v>
      </c>
      <c r="N305" s="218">
        <v>0</v>
      </c>
      <c r="O305" s="213" t="s">
        <v>514</v>
      </c>
      <c r="P305" s="218">
        <v>156916523</v>
      </c>
      <c r="Q305" s="218" t="s">
        <v>515</v>
      </c>
      <c r="R305" s="218" t="s">
        <v>516</v>
      </c>
    </row>
    <row r="306" spans="1:18" ht="24" x14ac:dyDescent="0.25">
      <c r="A306" s="222" t="s">
        <v>833</v>
      </c>
      <c r="B306" s="218">
        <v>8</v>
      </c>
      <c r="C306" s="214" t="s">
        <v>841</v>
      </c>
      <c r="D306" s="217">
        <v>469800030014</v>
      </c>
      <c r="E306" s="214">
        <v>5112.07</v>
      </c>
      <c r="F306" s="214">
        <v>4254.09</v>
      </c>
      <c r="G306" s="214">
        <v>5</v>
      </c>
      <c r="H306" s="214" t="s">
        <v>550</v>
      </c>
      <c r="I306" s="214" t="s">
        <v>513</v>
      </c>
      <c r="J306" s="214">
        <v>1980</v>
      </c>
      <c r="K306" s="214">
        <v>120</v>
      </c>
      <c r="L306" s="218">
        <v>0</v>
      </c>
      <c r="M306" s="214">
        <v>120</v>
      </c>
      <c r="N306" s="218">
        <v>0</v>
      </c>
      <c r="O306" s="218"/>
      <c r="P306" s="218"/>
      <c r="Q306" s="218"/>
      <c r="R306" s="218"/>
    </row>
    <row r="307" spans="1:18" ht="24" x14ac:dyDescent="0.25">
      <c r="A307" s="222" t="s">
        <v>833</v>
      </c>
      <c r="B307" s="218">
        <v>9</v>
      </c>
      <c r="C307" s="214" t="s">
        <v>842</v>
      </c>
      <c r="D307" s="217">
        <v>469640036010</v>
      </c>
      <c r="E307" s="214">
        <v>1070.52</v>
      </c>
      <c r="F307" s="214">
        <v>1067.78</v>
      </c>
      <c r="G307" s="214">
        <v>3</v>
      </c>
      <c r="H307" s="214" t="s">
        <v>527</v>
      </c>
      <c r="I307" s="214" t="s">
        <v>524</v>
      </c>
      <c r="J307" s="214">
        <v>1964</v>
      </c>
      <c r="K307" s="214">
        <v>25</v>
      </c>
      <c r="L307" s="218">
        <v>0</v>
      </c>
      <c r="M307" s="214">
        <v>24</v>
      </c>
      <c r="N307" s="218">
        <v>0</v>
      </c>
      <c r="O307" s="218"/>
      <c r="P307" s="218"/>
      <c r="Q307" s="218"/>
      <c r="R307" s="218"/>
    </row>
    <row r="308" spans="1:18" ht="24" x14ac:dyDescent="0.25">
      <c r="A308" s="222" t="s">
        <v>833</v>
      </c>
      <c r="B308" s="218">
        <v>10</v>
      </c>
      <c r="C308" s="214" t="s">
        <v>843</v>
      </c>
      <c r="D308" s="217">
        <v>469860128019</v>
      </c>
      <c r="E308" s="214">
        <v>1909.06</v>
      </c>
      <c r="F308" s="214">
        <v>1909.06</v>
      </c>
      <c r="G308" s="214">
        <v>5</v>
      </c>
      <c r="H308" s="214" t="s">
        <v>550</v>
      </c>
      <c r="I308" s="214" t="s">
        <v>513</v>
      </c>
      <c r="J308" s="214">
        <v>1986</v>
      </c>
      <c r="K308" s="214">
        <v>45</v>
      </c>
      <c r="L308" s="218">
        <v>0</v>
      </c>
      <c r="M308" s="214">
        <v>45</v>
      </c>
      <c r="N308" s="218">
        <v>0</v>
      </c>
      <c r="O308" s="213" t="s">
        <v>514</v>
      </c>
      <c r="P308" s="218">
        <v>156916523</v>
      </c>
      <c r="Q308" s="218" t="s">
        <v>515</v>
      </c>
      <c r="R308" s="218" t="s">
        <v>516</v>
      </c>
    </row>
    <row r="309" spans="1:18" ht="24" x14ac:dyDescent="0.25">
      <c r="A309" s="222" t="s">
        <v>833</v>
      </c>
      <c r="B309" s="218">
        <v>11</v>
      </c>
      <c r="C309" s="214" t="s">
        <v>844</v>
      </c>
      <c r="D309" s="215">
        <v>469830021018</v>
      </c>
      <c r="E309" s="216">
        <v>3505.14</v>
      </c>
      <c r="F309" s="216">
        <v>3487.14</v>
      </c>
      <c r="G309" s="216">
        <v>5</v>
      </c>
      <c r="H309" s="216" t="s">
        <v>512</v>
      </c>
      <c r="I309" s="216" t="s">
        <v>513</v>
      </c>
      <c r="J309" s="216">
        <v>1983</v>
      </c>
      <c r="K309" s="216">
        <v>75</v>
      </c>
      <c r="L309" s="213">
        <v>0</v>
      </c>
      <c r="M309" s="216">
        <v>75</v>
      </c>
      <c r="N309" s="213">
        <v>0</v>
      </c>
      <c r="O309" s="213" t="s">
        <v>514</v>
      </c>
      <c r="P309" s="213">
        <v>156916523</v>
      </c>
      <c r="Q309" s="213" t="s">
        <v>515</v>
      </c>
      <c r="R309" s="213" t="s">
        <v>516</v>
      </c>
    </row>
    <row r="310" spans="1:18" ht="24" x14ac:dyDescent="0.25">
      <c r="A310" s="222" t="s">
        <v>833</v>
      </c>
      <c r="B310" s="218">
        <v>12</v>
      </c>
      <c r="C310" s="214" t="s">
        <v>845</v>
      </c>
      <c r="D310" s="215">
        <v>469870094013</v>
      </c>
      <c r="E310" s="216">
        <v>5132.05</v>
      </c>
      <c r="F310" s="216">
        <v>4261.54</v>
      </c>
      <c r="G310" s="216">
        <v>5</v>
      </c>
      <c r="H310" s="216" t="s">
        <v>527</v>
      </c>
      <c r="I310" s="216" t="s">
        <v>513</v>
      </c>
      <c r="J310" s="216">
        <v>1987</v>
      </c>
      <c r="K310" s="216">
        <v>120</v>
      </c>
      <c r="L310" s="213">
        <v>0</v>
      </c>
      <c r="M310" s="216">
        <v>120</v>
      </c>
      <c r="N310" s="213">
        <v>0</v>
      </c>
      <c r="O310" s="213" t="s">
        <v>514</v>
      </c>
      <c r="P310" s="213">
        <v>156916523</v>
      </c>
      <c r="Q310" s="213" t="s">
        <v>515</v>
      </c>
      <c r="R310" s="213" t="s">
        <v>516</v>
      </c>
    </row>
    <row r="311" spans="1:18" ht="24" x14ac:dyDescent="0.25">
      <c r="A311" s="222" t="s">
        <v>833</v>
      </c>
      <c r="B311" s="218">
        <v>13</v>
      </c>
      <c r="C311" s="214" t="s">
        <v>846</v>
      </c>
      <c r="D311" s="215">
        <v>469710081016</v>
      </c>
      <c r="E311" s="216">
        <v>2342.94</v>
      </c>
      <c r="F311" s="216">
        <v>1819.35</v>
      </c>
      <c r="G311" s="216">
        <v>5</v>
      </c>
      <c r="H311" s="216" t="s">
        <v>527</v>
      </c>
      <c r="I311" s="216" t="s">
        <v>542</v>
      </c>
      <c r="J311" s="216">
        <v>1971</v>
      </c>
      <c r="K311" s="216">
        <v>44</v>
      </c>
      <c r="L311" s="213">
        <v>0</v>
      </c>
      <c r="M311" s="216">
        <v>44</v>
      </c>
      <c r="N311" s="213">
        <v>1</v>
      </c>
      <c r="O311" s="213" t="s">
        <v>514</v>
      </c>
      <c r="P311" s="213">
        <v>156916523</v>
      </c>
      <c r="Q311" s="213" t="s">
        <v>515</v>
      </c>
      <c r="R311" s="213" t="s">
        <v>516</v>
      </c>
    </row>
    <row r="312" spans="1:18" ht="24" x14ac:dyDescent="0.25">
      <c r="A312" s="222" t="s">
        <v>833</v>
      </c>
      <c r="B312" s="218">
        <v>14</v>
      </c>
      <c r="C312" s="214" t="s">
        <v>847</v>
      </c>
      <c r="D312" s="215">
        <v>469730094013</v>
      </c>
      <c r="E312" s="216">
        <v>2717.37</v>
      </c>
      <c r="F312" s="216">
        <v>2710.97</v>
      </c>
      <c r="G312" s="216">
        <v>5</v>
      </c>
      <c r="H312" s="216" t="s">
        <v>512</v>
      </c>
      <c r="I312" s="216" t="s">
        <v>513</v>
      </c>
      <c r="J312" s="216">
        <v>1973</v>
      </c>
      <c r="K312" s="216">
        <v>60</v>
      </c>
      <c r="L312" s="213">
        <v>0</v>
      </c>
      <c r="M312" s="216">
        <v>60</v>
      </c>
      <c r="N312" s="213">
        <v>0</v>
      </c>
      <c r="O312" s="213" t="s">
        <v>514</v>
      </c>
      <c r="P312" s="213">
        <v>156916523</v>
      </c>
      <c r="Q312" s="213" t="s">
        <v>515</v>
      </c>
      <c r="R312" s="213" t="s">
        <v>516</v>
      </c>
    </row>
    <row r="313" spans="1:18" ht="24" x14ac:dyDescent="0.25">
      <c r="A313" s="222" t="s">
        <v>833</v>
      </c>
      <c r="B313" s="218">
        <v>15</v>
      </c>
      <c r="C313" s="214" t="s">
        <v>848</v>
      </c>
      <c r="D313" s="215">
        <v>469750133016</v>
      </c>
      <c r="E313" s="216">
        <v>2354.27</v>
      </c>
      <c r="F313" s="216">
        <v>2346.8000000000002</v>
      </c>
      <c r="G313" s="216">
        <v>5</v>
      </c>
      <c r="H313" s="216" t="s">
        <v>512</v>
      </c>
      <c r="I313" s="216" t="s">
        <v>513</v>
      </c>
      <c r="J313" s="216">
        <v>1975</v>
      </c>
      <c r="K313" s="216">
        <v>45</v>
      </c>
      <c r="L313" s="213">
        <v>0</v>
      </c>
      <c r="M313" s="216">
        <v>45</v>
      </c>
      <c r="N313" s="213">
        <v>0</v>
      </c>
      <c r="O313" s="213" t="s">
        <v>514</v>
      </c>
      <c r="P313" s="213">
        <v>156916523</v>
      </c>
      <c r="Q313" s="213" t="s">
        <v>515</v>
      </c>
      <c r="R313" s="213" t="s">
        <v>516</v>
      </c>
    </row>
    <row r="314" spans="1:18" ht="24" x14ac:dyDescent="0.25">
      <c r="A314" s="222" t="s">
        <v>833</v>
      </c>
      <c r="B314" s="218">
        <v>16</v>
      </c>
      <c r="C314" s="214" t="s">
        <v>849</v>
      </c>
      <c r="D314" s="215">
        <v>469740109010</v>
      </c>
      <c r="E314" s="216">
        <v>4030.04</v>
      </c>
      <c r="F314" s="216">
        <v>4020</v>
      </c>
      <c r="G314" s="216">
        <v>5</v>
      </c>
      <c r="H314" s="216" t="s">
        <v>512</v>
      </c>
      <c r="I314" s="216" t="s">
        <v>513</v>
      </c>
      <c r="J314" s="216">
        <v>1974</v>
      </c>
      <c r="K314" s="216">
        <v>75</v>
      </c>
      <c r="L314" s="213">
        <v>0</v>
      </c>
      <c r="M314" s="216">
        <v>75</v>
      </c>
      <c r="N314" s="213">
        <v>0</v>
      </c>
      <c r="O314" s="213" t="s">
        <v>514</v>
      </c>
      <c r="P314" s="213">
        <v>156916523</v>
      </c>
      <c r="Q314" s="213" t="s">
        <v>515</v>
      </c>
      <c r="R314" s="213" t="s">
        <v>516</v>
      </c>
    </row>
    <row r="315" spans="1:18" ht="24" x14ac:dyDescent="0.25">
      <c r="A315" s="222" t="s">
        <v>833</v>
      </c>
      <c r="B315" s="218">
        <v>17</v>
      </c>
      <c r="C315" s="214" t="s">
        <v>850</v>
      </c>
      <c r="D315" s="215">
        <v>469750044019</v>
      </c>
      <c r="E315" s="216">
        <v>2233.15</v>
      </c>
      <c r="F315" s="216">
        <v>2228.3200000000002</v>
      </c>
      <c r="G315" s="216">
        <v>5</v>
      </c>
      <c r="H315" s="216" t="s">
        <v>527</v>
      </c>
      <c r="I315" s="216" t="s">
        <v>519</v>
      </c>
      <c r="J315" s="216">
        <v>1975</v>
      </c>
      <c r="K315" s="216">
        <v>40</v>
      </c>
      <c r="L315" s="213">
        <v>0</v>
      </c>
      <c r="M315" s="216">
        <v>40</v>
      </c>
      <c r="N315" s="213">
        <v>0</v>
      </c>
      <c r="O315" s="213" t="s">
        <v>514</v>
      </c>
      <c r="P315" s="213">
        <v>156916523</v>
      </c>
      <c r="Q315" s="213" t="s">
        <v>515</v>
      </c>
      <c r="R315" s="213" t="s">
        <v>516</v>
      </c>
    </row>
    <row r="316" spans="1:18" ht="24" x14ac:dyDescent="0.25">
      <c r="A316" s="222" t="s">
        <v>833</v>
      </c>
      <c r="B316" s="218">
        <v>18</v>
      </c>
      <c r="C316" s="214" t="s">
        <v>851</v>
      </c>
      <c r="D316" s="215">
        <v>469850103013</v>
      </c>
      <c r="E316" s="216">
        <v>3471.01</v>
      </c>
      <c r="F316" s="216">
        <v>3453.01</v>
      </c>
      <c r="G316" s="216">
        <v>5</v>
      </c>
      <c r="H316" s="216" t="s">
        <v>512</v>
      </c>
      <c r="I316" s="216" t="s">
        <v>519</v>
      </c>
      <c r="J316" s="216">
        <v>1985</v>
      </c>
      <c r="K316" s="216">
        <v>75</v>
      </c>
      <c r="L316" s="213">
        <v>0</v>
      </c>
      <c r="M316" s="216">
        <v>75</v>
      </c>
      <c r="N316" s="213">
        <v>0</v>
      </c>
      <c r="O316" s="213" t="s">
        <v>514</v>
      </c>
      <c r="P316" s="213">
        <v>156916523</v>
      </c>
      <c r="Q316" s="213" t="s">
        <v>515</v>
      </c>
      <c r="R316" s="213" t="s">
        <v>516</v>
      </c>
    </row>
    <row r="317" spans="1:18" ht="24" x14ac:dyDescent="0.25">
      <c r="A317" s="222" t="s">
        <v>833</v>
      </c>
      <c r="B317" s="218">
        <v>19</v>
      </c>
      <c r="C317" s="214" t="s">
        <v>852</v>
      </c>
      <c r="D317" s="215">
        <v>469790031016</v>
      </c>
      <c r="E317" s="216">
        <v>3125.52</v>
      </c>
      <c r="F317" s="216">
        <v>3119</v>
      </c>
      <c r="G317" s="216">
        <v>5</v>
      </c>
      <c r="H317" s="216" t="s">
        <v>512</v>
      </c>
      <c r="I317" s="216" t="s">
        <v>513</v>
      </c>
      <c r="J317" s="216">
        <v>1979</v>
      </c>
      <c r="K317" s="216">
        <v>60</v>
      </c>
      <c r="L317" s="213">
        <v>0</v>
      </c>
      <c r="M317" s="216">
        <v>60</v>
      </c>
      <c r="N317" s="213">
        <v>0</v>
      </c>
      <c r="O317" s="213" t="s">
        <v>514</v>
      </c>
      <c r="P317" s="213">
        <v>156916523</v>
      </c>
      <c r="Q317" s="213" t="s">
        <v>515</v>
      </c>
      <c r="R317" s="213" t="s">
        <v>516</v>
      </c>
    </row>
    <row r="318" spans="1:18" ht="24" x14ac:dyDescent="0.25">
      <c r="A318" s="222" t="s">
        <v>833</v>
      </c>
      <c r="B318" s="218">
        <v>20</v>
      </c>
      <c r="C318" s="214" t="s">
        <v>853</v>
      </c>
      <c r="D318" s="215">
        <v>469780042016</v>
      </c>
      <c r="E318" s="216">
        <v>2361.94</v>
      </c>
      <c r="F318" s="216">
        <v>2354.65</v>
      </c>
      <c r="G318" s="216">
        <v>5</v>
      </c>
      <c r="H318" s="216" t="s">
        <v>512</v>
      </c>
      <c r="I318" s="216" t="s">
        <v>513</v>
      </c>
      <c r="J318" s="216">
        <v>1978</v>
      </c>
      <c r="K318" s="216">
        <v>45</v>
      </c>
      <c r="L318" s="213">
        <v>0</v>
      </c>
      <c r="M318" s="216">
        <v>45</v>
      </c>
      <c r="N318" s="213">
        <v>0</v>
      </c>
      <c r="O318" s="213" t="s">
        <v>514</v>
      </c>
      <c r="P318" s="213">
        <v>156916523</v>
      </c>
      <c r="Q318" s="213" t="s">
        <v>515</v>
      </c>
      <c r="R318" s="213" t="s">
        <v>516</v>
      </c>
    </row>
    <row r="319" spans="1:18" ht="24" x14ac:dyDescent="0.25">
      <c r="A319" s="222" t="s">
        <v>833</v>
      </c>
      <c r="B319" s="218">
        <v>21</v>
      </c>
      <c r="C319" s="214" t="s">
        <v>854</v>
      </c>
      <c r="D319" s="215">
        <v>469760038016</v>
      </c>
      <c r="E319" s="216">
        <v>3994.95</v>
      </c>
      <c r="F319" s="216">
        <v>3984.55</v>
      </c>
      <c r="G319" s="216">
        <v>5</v>
      </c>
      <c r="H319" s="216" t="s">
        <v>512</v>
      </c>
      <c r="I319" s="216" t="s">
        <v>513</v>
      </c>
      <c r="J319" s="216">
        <v>1976</v>
      </c>
      <c r="K319" s="216">
        <v>75</v>
      </c>
      <c r="L319" s="213">
        <v>0</v>
      </c>
      <c r="M319" s="216">
        <v>75</v>
      </c>
      <c r="N319" s="213">
        <v>0</v>
      </c>
      <c r="O319" s="213" t="s">
        <v>514</v>
      </c>
      <c r="P319" s="213">
        <v>156916523</v>
      </c>
      <c r="Q319" s="213" t="s">
        <v>515</v>
      </c>
      <c r="R319" s="213" t="s">
        <v>516</v>
      </c>
    </row>
    <row r="320" spans="1:18" ht="24.75" thickBot="1" x14ac:dyDescent="0.3">
      <c r="A320" s="232" t="s">
        <v>833</v>
      </c>
      <c r="B320" s="227">
        <v>22</v>
      </c>
      <c r="C320" s="225" t="s">
        <v>855</v>
      </c>
      <c r="D320" s="230">
        <v>469770027016</v>
      </c>
      <c r="E320" s="231">
        <v>2354.9699999999998</v>
      </c>
      <c r="F320" s="231">
        <v>2335.0500000000002</v>
      </c>
      <c r="G320" s="231">
        <v>5</v>
      </c>
      <c r="H320" s="231" t="s">
        <v>512</v>
      </c>
      <c r="I320" s="231" t="s">
        <v>513</v>
      </c>
      <c r="J320" s="231">
        <v>1977</v>
      </c>
      <c r="K320" s="231">
        <v>45</v>
      </c>
      <c r="L320" s="224">
        <v>0</v>
      </c>
      <c r="M320" s="231">
        <v>45</v>
      </c>
      <c r="N320" s="224">
        <v>0</v>
      </c>
      <c r="O320" s="224" t="s">
        <v>514</v>
      </c>
      <c r="P320" s="224">
        <v>156916523</v>
      </c>
      <c r="Q320" s="224" t="s">
        <v>515</v>
      </c>
      <c r="R320" s="224" t="s">
        <v>516</v>
      </c>
    </row>
    <row r="321" spans="1:18" ht="24" x14ac:dyDescent="0.25">
      <c r="A321" s="233" t="s">
        <v>856</v>
      </c>
      <c r="B321" s="213">
        <v>1</v>
      </c>
      <c r="C321" s="214" t="s">
        <v>857</v>
      </c>
      <c r="D321" s="215">
        <v>469870058017</v>
      </c>
      <c r="E321" s="216">
        <v>530.11</v>
      </c>
      <c r="F321" s="216">
        <v>350.94</v>
      </c>
      <c r="G321" s="216">
        <v>2</v>
      </c>
      <c r="H321" s="216" t="s">
        <v>512</v>
      </c>
      <c r="I321" s="216" t="s">
        <v>513</v>
      </c>
      <c r="J321" s="216">
        <v>1987</v>
      </c>
      <c r="K321" s="216">
        <v>6</v>
      </c>
      <c r="L321" s="213">
        <v>0</v>
      </c>
      <c r="M321" s="216">
        <v>6</v>
      </c>
      <c r="N321" s="213">
        <v>0</v>
      </c>
      <c r="O321" s="213"/>
      <c r="P321" s="213"/>
      <c r="Q321" s="213"/>
      <c r="R321" s="213"/>
    </row>
    <row r="322" spans="1:18" ht="24" x14ac:dyDescent="0.25">
      <c r="A322" s="212" t="s">
        <v>856</v>
      </c>
      <c r="B322" s="213">
        <v>2</v>
      </c>
      <c r="C322" s="214" t="s">
        <v>858</v>
      </c>
      <c r="D322" s="215">
        <v>469890048019</v>
      </c>
      <c r="E322" s="216">
        <v>462.97</v>
      </c>
      <c r="F322" s="216">
        <v>312.08999999999997</v>
      </c>
      <c r="G322" s="216">
        <v>2</v>
      </c>
      <c r="H322" s="216" t="s">
        <v>550</v>
      </c>
      <c r="I322" s="216" t="s">
        <v>524</v>
      </c>
      <c r="J322" s="216">
        <v>1989</v>
      </c>
      <c r="K322" s="216">
        <v>4</v>
      </c>
      <c r="L322" s="213">
        <v>0</v>
      </c>
      <c r="M322" s="216">
        <v>4</v>
      </c>
      <c r="N322" s="213">
        <v>0</v>
      </c>
      <c r="O322" s="213"/>
      <c r="P322" s="213"/>
      <c r="Q322" s="213"/>
      <c r="R322" s="213"/>
    </row>
    <row r="323" spans="1:18" ht="24" x14ac:dyDescent="0.25">
      <c r="A323" s="212" t="s">
        <v>856</v>
      </c>
      <c r="B323" s="213">
        <v>3</v>
      </c>
      <c r="C323" s="214" t="s">
        <v>859</v>
      </c>
      <c r="D323" s="215">
        <v>469810015012</v>
      </c>
      <c r="E323" s="216">
        <v>516.97</v>
      </c>
      <c r="F323" s="216">
        <v>342.2</v>
      </c>
      <c r="G323" s="216">
        <v>2</v>
      </c>
      <c r="H323" s="216" t="s">
        <v>550</v>
      </c>
      <c r="I323" s="216" t="s">
        <v>513</v>
      </c>
      <c r="J323" s="216">
        <v>1981</v>
      </c>
      <c r="K323" s="216">
        <v>4</v>
      </c>
      <c r="L323" s="213">
        <v>0</v>
      </c>
      <c r="M323" s="216">
        <v>4</v>
      </c>
      <c r="N323" s="213">
        <v>0</v>
      </c>
      <c r="O323" s="213"/>
      <c r="P323" s="213"/>
      <c r="Q323" s="213"/>
      <c r="R323" s="213"/>
    </row>
    <row r="324" spans="1:18" ht="24" x14ac:dyDescent="0.25">
      <c r="A324" s="212" t="s">
        <v>856</v>
      </c>
      <c r="B324" s="213">
        <v>4</v>
      </c>
      <c r="C324" s="214" t="s">
        <v>860</v>
      </c>
      <c r="D324" s="215">
        <v>469780037017</v>
      </c>
      <c r="E324" s="216">
        <v>751.04</v>
      </c>
      <c r="F324" s="216">
        <v>491.12</v>
      </c>
      <c r="G324" s="216">
        <v>2</v>
      </c>
      <c r="H324" s="216" t="s">
        <v>523</v>
      </c>
      <c r="I324" s="216" t="s">
        <v>519</v>
      </c>
      <c r="J324" s="216">
        <v>1978</v>
      </c>
      <c r="K324" s="216">
        <v>8</v>
      </c>
      <c r="L324" s="213">
        <v>0</v>
      </c>
      <c r="M324" s="216">
        <v>8</v>
      </c>
      <c r="N324" s="213">
        <v>0</v>
      </c>
      <c r="O324" s="213"/>
      <c r="P324" s="213"/>
      <c r="Q324" s="213"/>
      <c r="R324" s="213"/>
    </row>
    <row r="325" spans="1:18" ht="24" x14ac:dyDescent="0.25">
      <c r="A325" s="212" t="s">
        <v>856</v>
      </c>
      <c r="B325" s="213">
        <v>5</v>
      </c>
      <c r="C325" s="214" t="s">
        <v>861</v>
      </c>
      <c r="D325" s="215">
        <v>469900127010</v>
      </c>
      <c r="E325" s="216">
        <v>751.04</v>
      </c>
      <c r="F325" s="216">
        <v>491.12</v>
      </c>
      <c r="G325" s="216">
        <v>2</v>
      </c>
      <c r="H325" s="216" t="s">
        <v>523</v>
      </c>
      <c r="I325" s="216" t="s">
        <v>524</v>
      </c>
      <c r="J325" s="216">
        <v>1977</v>
      </c>
      <c r="K325" s="216">
        <v>8</v>
      </c>
      <c r="L325" s="213">
        <v>0</v>
      </c>
      <c r="M325" s="216">
        <v>8</v>
      </c>
      <c r="N325" s="213">
        <v>0</v>
      </c>
      <c r="O325" s="213"/>
      <c r="P325" s="213"/>
      <c r="Q325" s="213"/>
      <c r="R325" s="213"/>
    </row>
    <row r="326" spans="1:18" ht="24" x14ac:dyDescent="0.25">
      <c r="A326" s="212" t="s">
        <v>856</v>
      </c>
      <c r="B326" s="213">
        <v>6</v>
      </c>
      <c r="C326" s="214" t="s">
        <v>862</v>
      </c>
      <c r="D326" s="215">
        <v>469870147019</v>
      </c>
      <c r="E326" s="216">
        <v>224.29</v>
      </c>
      <c r="F326" s="216">
        <v>176.32</v>
      </c>
      <c r="G326" s="216">
        <v>2</v>
      </c>
      <c r="H326" s="216" t="s">
        <v>550</v>
      </c>
      <c r="I326" s="216" t="s">
        <v>513</v>
      </c>
      <c r="J326" s="216">
        <v>1972</v>
      </c>
      <c r="K326" s="216">
        <v>4</v>
      </c>
      <c r="L326" s="213">
        <v>0</v>
      </c>
      <c r="M326" s="216">
        <v>4</v>
      </c>
      <c r="N326" s="213">
        <v>0</v>
      </c>
      <c r="O326" s="213"/>
      <c r="P326" s="213"/>
      <c r="Q326" s="213"/>
      <c r="R326" s="213"/>
    </row>
    <row r="327" spans="1:18" ht="24" x14ac:dyDescent="0.25">
      <c r="A327" s="212" t="s">
        <v>856</v>
      </c>
      <c r="B327" s="213">
        <v>7</v>
      </c>
      <c r="C327" s="214" t="s">
        <v>863</v>
      </c>
      <c r="D327" s="215">
        <v>469860270018</v>
      </c>
      <c r="E327" s="216">
        <v>366.13</v>
      </c>
      <c r="F327" s="216">
        <v>366.13</v>
      </c>
      <c r="G327" s="216">
        <v>2</v>
      </c>
      <c r="H327" s="216" t="s">
        <v>527</v>
      </c>
      <c r="I327" s="216" t="s">
        <v>524</v>
      </c>
      <c r="J327" s="216">
        <v>1966</v>
      </c>
      <c r="K327" s="216">
        <v>7</v>
      </c>
      <c r="L327" s="213">
        <v>0</v>
      </c>
      <c r="M327" s="216">
        <v>8</v>
      </c>
      <c r="N327" s="213">
        <v>0</v>
      </c>
      <c r="O327" s="213" t="s">
        <v>514</v>
      </c>
      <c r="P327" s="213">
        <v>156916523</v>
      </c>
      <c r="Q327" s="213" t="s">
        <v>515</v>
      </c>
      <c r="R327" s="213" t="s">
        <v>516</v>
      </c>
    </row>
    <row r="328" spans="1:18" ht="24" x14ac:dyDescent="0.25">
      <c r="A328" s="212" t="s">
        <v>856</v>
      </c>
      <c r="B328" s="213">
        <v>8</v>
      </c>
      <c r="C328" s="214" t="s">
        <v>864</v>
      </c>
      <c r="D328" s="215">
        <v>469640077013</v>
      </c>
      <c r="E328" s="216">
        <v>466.5</v>
      </c>
      <c r="F328" s="216">
        <v>223.24</v>
      </c>
      <c r="G328" s="216">
        <v>2</v>
      </c>
      <c r="H328" s="216" t="s">
        <v>527</v>
      </c>
      <c r="I328" s="216" t="s">
        <v>524</v>
      </c>
      <c r="J328" s="216">
        <v>2001</v>
      </c>
      <c r="K328" s="216">
        <v>8</v>
      </c>
      <c r="L328" s="213">
        <v>0</v>
      </c>
      <c r="M328" s="216">
        <v>2</v>
      </c>
      <c r="N328" s="213">
        <v>0</v>
      </c>
      <c r="O328" s="213"/>
      <c r="P328" s="234">
        <v>156916523</v>
      </c>
      <c r="Q328" s="234" t="s">
        <v>515</v>
      </c>
      <c r="R328" s="234" t="s">
        <v>516</v>
      </c>
    </row>
    <row r="329" spans="1:18" ht="24" x14ac:dyDescent="0.25">
      <c r="A329" s="212" t="s">
        <v>856</v>
      </c>
      <c r="B329" s="213">
        <v>9</v>
      </c>
      <c r="C329" s="214" t="s">
        <v>865</v>
      </c>
      <c r="D329" s="215">
        <v>469860198015</v>
      </c>
      <c r="E329" s="216">
        <v>406.55</v>
      </c>
      <c r="F329" s="216">
        <v>406.55</v>
      </c>
      <c r="G329" s="216">
        <v>2</v>
      </c>
      <c r="H329" s="216" t="s">
        <v>550</v>
      </c>
      <c r="I329" s="216" t="s">
        <v>773</v>
      </c>
      <c r="J329" s="216">
        <v>1963</v>
      </c>
      <c r="K329" s="216">
        <v>8</v>
      </c>
      <c r="L329" s="213">
        <v>0</v>
      </c>
      <c r="M329" s="216">
        <v>8</v>
      </c>
      <c r="N329" s="213">
        <v>0</v>
      </c>
      <c r="O329" s="213"/>
      <c r="P329" s="213"/>
      <c r="Q329" s="213" t="s">
        <v>515</v>
      </c>
      <c r="R329" s="213" t="s">
        <v>516</v>
      </c>
    </row>
    <row r="330" spans="1:18" ht="24" x14ac:dyDescent="0.25">
      <c r="A330" s="212" t="s">
        <v>856</v>
      </c>
      <c r="B330" s="213">
        <v>10</v>
      </c>
      <c r="C330" s="214" t="s">
        <v>866</v>
      </c>
      <c r="D330" s="215">
        <v>469850071010</v>
      </c>
      <c r="E330" s="216">
        <v>415.85</v>
      </c>
      <c r="F330" s="216">
        <v>336.54</v>
      </c>
      <c r="G330" s="216">
        <v>2</v>
      </c>
      <c r="H330" s="216" t="s">
        <v>550</v>
      </c>
      <c r="I330" s="216" t="s">
        <v>524</v>
      </c>
      <c r="J330" s="216">
        <v>1985</v>
      </c>
      <c r="K330" s="216">
        <v>4</v>
      </c>
      <c r="L330" s="213">
        <v>0</v>
      </c>
      <c r="M330" s="216">
        <v>4</v>
      </c>
      <c r="N330" s="213">
        <v>0</v>
      </c>
      <c r="O330" s="213"/>
      <c r="P330" s="213"/>
      <c r="Q330" s="213"/>
      <c r="R330" s="213"/>
    </row>
    <row r="331" spans="1:18" ht="24" x14ac:dyDescent="0.25">
      <c r="A331" s="212" t="s">
        <v>856</v>
      </c>
      <c r="B331" s="213">
        <v>11</v>
      </c>
      <c r="C331" s="214" t="s">
        <v>867</v>
      </c>
      <c r="D331" s="215">
        <v>469730097027</v>
      </c>
      <c r="E331" s="216">
        <v>326.86</v>
      </c>
      <c r="F331" s="216">
        <v>322.3</v>
      </c>
      <c r="G331" s="216">
        <v>2</v>
      </c>
      <c r="H331" s="216" t="s">
        <v>527</v>
      </c>
      <c r="I331" s="216" t="s">
        <v>524</v>
      </c>
      <c r="J331" s="216">
        <v>1993</v>
      </c>
      <c r="K331" s="216">
        <v>4</v>
      </c>
      <c r="L331" s="213">
        <v>1</v>
      </c>
      <c r="M331" s="216">
        <v>5</v>
      </c>
      <c r="N331" s="213">
        <v>0</v>
      </c>
      <c r="O331" s="213" t="s">
        <v>514</v>
      </c>
      <c r="P331" s="213">
        <v>156916523</v>
      </c>
      <c r="Q331" s="213" t="s">
        <v>515</v>
      </c>
      <c r="R331" s="213" t="s">
        <v>516</v>
      </c>
    </row>
    <row r="332" spans="1:18" ht="24" x14ac:dyDescent="0.25">
      <c r="A332" s="212" t="s">
        <v>856</v>
      </c>
      <c r="B332" s="213">
        <v>12</v>
      </c>
      <c r="C332" s="214" t="s">
        <v>868</v>
      </c>
      <c r="D332" s="215">
        <v>469680067013</v>
      </c>
      <c r="E332" s="216">
        <v>171.49</v>
      </c>
      <c r="F332" s="216">
        <v>168.35</v>
      </c>
      <c r="G332" s="216">
        <v>2</v>
      </c>
      <c r="H332" s="216" t="s">
        <v>527</v>
      </c>
      <c r="I332" s="216" t="s">
        <v>524</v>
      </c>
      <c r="J332" s="216">
        <v>1968</v>
      </c>
      <c r="K332" s="216">
        <v>0</v>
      </c>
      <c r="L332" s="213">
        <v>0</v>
      </c>
      <c r="M332" s="216">
        <v>4</v>
      </c>
      <c r="N332" s="213">
        <v>0</v>
      </c>
      <c r="O332" s="213"/>
      <c r="P332" s="213"/>
      <c r="Q332" s="213"/>
      <c r="R332" s="213"/>
    </row>
    <row r="333" spans="1:18" ht="24" x14ac:dyDescent="0.25">
      <c r="A333" s="212" t="s">
        <v>856</v>
      </c>
      <c r="B333" s="213">
        <v>13</v>
      </c>
      <c r="C333" s="214" t="s">
        <v>869</v>
      </c>
      <c r="D333" s="215">
        <v>469630065018</v>
      </c>
      <c r="E333" s="216">
        <v>347.11</v>
      </c>
      <c r="F333" s="216">
        <v>344.11</v>
      </c>
      <c r="G333" s="216">
        <v>2</v>
      </c>
      <c r="H333" s="216" t="s">
        <v>611</v>
      </c>
      <c r="I333" s="216" t="s">
        <v>524</v>
      </c>
      <c r="J333" s="216">
        <v>1963</v>
      </c>
      <c r="K333" s="216">
        <v>8</v>
      </c>
      <c r="L333" s="213">
        <v>0</v>
      </c>
      <c r="M333" s="216">
        <v>8</v>
      </c>
      <c r="N333" s="213">
        <v>0</v>
      </c>
      <c r="O333" s="213" t="s">
        <v>514</v>
      </c>
      <c r="P333" s="213">
        <v>156916523</v>
      </c>
      <c r="Q333" s="213" t="s">
        <v>515</v>
      </c>
      <c r="R333" s="213" t="s">
        <v>516</v>
      </c>
    </row>
    <row r="334" spans="1:18" ht="24" x14ac:dyDescent="0.25">
      <c r="A334" s="212" t="s">
        <v>856</v>
      </c>
      <c r="B334" s="213">
        <v>14</v>
      </c>
      <c r="C334" s="214" t="s">
        <v>870</v>
      </c>
      <c r="D334" s="215">
        <v>469740132019</v>
      </c>
      <c r="E334" s="216">
        <v>391.39</v>
      </c>
      <c r="F334" s="216">
        <v>332.72</v>
      </c>
      <c r="G334" s="216">
        <v>2</v>
      </c>
      <c r="H334" s="216" t="s">
        <v>871</v>
      </c>
      <c r="I334" s="216" t="s">
        <v>773</v>
      </c>
      <c r="J334" s="216">
        <v>1974</v>
      </c>
      <c r="K334" s="216">
        <v>4</v>
      </c>
      <c r="L334" s="213">
        <v>0</v>
      </c>
      <c r="M334" s="216">
        <v>4</v>
      </c>
      <c r="N334" s="213">
        <v>0</v>
      </c>
      <c r="O334" s="213"/>
      <c r="P334" s="213"/>
      <c r="Q334" s="213"/>
      <c r="R334" s="213"/>
    </row>
    <row r="335" spans="1:18" ht="24" x14ac:dyDescent="0.25">
      <c r="A335" s="212" t="s">
        <v>856</v>
      </c>
      <c r="B335" s="213">
        <v>15</v>
      </c>
      <c r="C335" s="214" t="s">
        <v>872</v>
      </c>
      <c r="D335" s="215">
        <v>469870156018</v>
      </c>
      <c r="E335" s="216">
        <v>386.75</v>
      </c>
      <c r="F335" s="216">
        <v>323.79000000000002</v>
      </c>
      <c r="G335" s="216">
        <v>2</v>
      </c>
      <c r="H335" s="216" t="s">
        <v>550</v>
      </c>
      <c r="I335" s="216" t="s">
        <v>773</v>
      </c>
      <c r="J335" s="216">
        <v>1971</v>
      </c>
      <c r="K335" s="216">
        <v>8</v>
      </c>
      <c r="L335" s="213">
        <v>0</v>
      </c>
      <c r="M335" s="216">
        <v>8</v>
      </c>
      <c r="N335" s="213">
        <v>0</v>
      </c>
      <c r="O335" s="213" t="s">
        <v>514</v>
      </c>
      <c r="P335" s="213">
        <v>156916523</v>
      </c>
      <c r="Q335" s="213" t="s">
        <v>515</v>
      </c>
      <c r="R335" s="213" t="s">
        <v>516</v>
      </c>
    </row>
    <row r="336" spans="1:18" ht="24.75" thickBot="1" x14ac:dyDescent="0.3">
      <c r="A336" s="223" t="s">
        <v>856</v>
      </c>
      <c r="B336" s="224">
        <v>16</v>
      </c>
      <c r="C336" s="225" t="s">
        <v>873</v>
      </c>
      <c r="D336" s="230">
        <v>469690087010</v>
      </c>
      <c r="E336" s="231">
        <v>179.37</v>
      </c>
      <c r="F336" s="231">
        <v>179.37</v>
      </c>
      <c r="G336" s="231">
        <v>2</v>
      </c>
      <c r="H336" s="231" t="s">
        <v>550</v>
      </c>
      <c r="I336" s="231" t="s">
        <v>513</v>
      </c>
      <c r="J336" s="231">
        <v>1969</v>
      </c>
      <c r="K336" s="231">
        <v>4</v>
      </c>
      <c r="L336" s="224">
        <v>0</v>
      </c>
      <c r="M336" s="231">
        <v>4</v>
      </c>
      <c r="N336" s="224">
        <v>0</v>
      </c>
      <c r="O336" s="224"/>
      <c r="P336" s="224"/>
      <c r="Q336" s="224"/>
      <c r="R336" s="224"/>
    </row>
    <row r="337" spans="1:18" ht="24" x14ac:dyDescent="0.25">
      <c r="A337" s="233" t="s">
        <v>874</v>
      </c>
      <c r="B337" s="213">
        <v>1</v>
      </c>
      <c r="C337" s="214" t="s">
        <v>875</v>
      </c>
      <c r="D337" s="215">
        <v>469230005014</v>
      </c>
      <c r="E337" s="216">
        <v>107.68</v>
      </c>
      <c r="F337" s="216">
        <v>107.68</v>
      </c>
      <c r="G337" s="216">
        <v>1</v>
      </c>
      <c r="H337" s="216" t="s">
        <v>611</v>
      </c>
      <c r="I337" s="216" t="s">
        <v>524</v>
      </c>
      <c r="J337" s="216">
        <v>1923</v>
      </c>
      <c r="K337" s="216">
        <v>3</v>
      </c>
      <c r="L337" s="213">
        <v>0</v>
      </c>
      <c r="M337" s="216">
        <v>3</v>
      </c>
      <c r="N337" s="213">
        <v>0</v>
      </c>
      <c r="O337" s="213"/>
      <c r="P337" s="213"/>
      <c r="Q337" s="213"/>
      <c r="R337" s="213"/>
    </row>
    <row r="338" spans="1:18" ht="24" x14ac:dyDescent="0.25">
      <c r="A338" s="212" t="s">
        <v>874</v>
      </c>
      <c r="B338" s="213">
        <v>2</v>
      </c>
      <c r="C338" s="214" t="s">
        <v>876</v>
      </c>
      <c r="D338" s="215">
        <v>469350023014</v>
      </c>
      <c r="E338" s="216">
        <v>118.67</v>
      </c>
      <c r="F338" s="216">
        <v>86.73</v>
      </c>
      <c r="G338" s="216">
        <v>1</v>
      </c>
      <c r="H338" s="216" t="s">
        <v>611</v>
      </c>
      <c r="I338" s="216" t="s">
        <v>601</v>
      </c>
      <c r="J338" s="216">
        <v>1935</v>
      </c>
      <c r="K338" s="216">
        <v>2</v>
      </c>
      <c r="L338" s="213">
        <v>1</v>
      </c>
      <c r="M338" s="216">
        <v>2</v>
      </c>
      <c r="N338" s="213">
        <v>1</v>
      </c>
      <c r="O338" s="213"/>
      <c r="P338" s="213"/>
      <c r="Q338" s="213"/>
      <c r="R338" s="213"/>
    </row>
    <row r="339" spans="1:18" ht="24" x14ac:dyDescent="0.25">
      <c r="A339" s="212" t="s">
        <v>874</v>
      </c>
      <c r="B339" s="213">
        <v>3</v>
      </c>
      <c r="C339" s="214" t="s">
        <v>877</v>
      </c>
      <c r="D339" s="215">
        <v>469930078017</v>
      </c>
      <c r="E339" s="216">
        <v>500.93</v>
      </c>
      <c r="F339" s="216">
        <v>339.97</v>
      </c>
      <c r="G339" s="216">
        <v>2</v>
      </c>
      <c r="H339" s="216" t="s">
        <v>527</v>
      </c>
      <c r="I339" s="216" t="s">
        <v>519</v>
      </c>
      <c r="J339" s="216">
        <v>1973</v>
      </c>
      <c r="K339" s="216">
        <v>4</v>
      </c>
      <c r="L339" s="213">
        <v>0</v>
      </c>
      <c r="M339" s="216">
        <v>4</v>
      </c>
      <c r="N339" s="213">
        <v>0</v>
      </c>
      <c r="O339" s="213"/>
      <c r="P339" s="213"/>
      <c r="Q339" s="213"/>
      <c r="R339" s="213"/>
    </row>
    <row r="340" spans="1:18" ht="24" x14ac:dyDescent="0.25">
      <c r="A340" s="212" t="s">
        <v>874</v>
      </c>
      <c r="B340" s="213">
        <v>4</v>
      </c>
      <c r="C340" s="214" t="s">
        <v>878</v>
      </c>
      <c r="D340" s="215">
        <v>469620071014</v>
      </c>
      <c r="E340" s="216">
        <v>395.64</v>
      </c>
      <c r="F340" s="216">
        <v>354.3</v>
      </c>
      <c r="G340" s="216">
        <v>2</v>
      </c>
      <c r="H340" s="216" t="s">
        <v>527</v>
      </c>
      <c r="I340" s="216" t="s">
        <v>601</v>
      </c>
      <c r="J340" s="216">
        <v>1962</v>
      </c>
      <c r="K340" s="216">
        <v>8</v>
      </c>
      <c r="L340" s="213">
        <v>0</v>
      </c>
      <c r="M340" s="216">
        <v>8</v>
      </c>
      <c r="N340" s="213">
        <v>0</v>
      </c>
      <c r="O340" s="213"/>
      <c r="P340" s="213"/>
      <c r="Q340" s="213"/>
      <c r="R340" s="213"/>
    </row>
    <row r="341" spans="1:18" ht="24" x14ac:dyDescent="0.25">
      <c r="A341" s="212" t="s">
        <v>874</v>
      </c>
      <c r="B341" s="213">
        <v>5</v>
      </c>
      <c r="C341" s="214" t="s">
        <v>879</v>
      </c>
      <c r="D341" s="215">
        <v>469490016010</v>
      </c>
      <c r="E341" s="216">
        <v>169.92</v>
      </c>
      <c r="F341" s="216">
        <v>167.41</v>
      </c>
      <c r="G341" s="216">
        <v>1</v>
      </c>
      <c r="H341" s="216" t="s">
        <v>611</v>
      </c>
      <c r="I341" s="216" t="s">
        <v>524</v>
      </c>
      <c r="J341" s="216">
        <v>1949</v>
      </c>
      <c r="K341" s="216">
        <v>5</v>
      </c>
      <c r="L341" s="213">
        <v>0</v>
      </c>
      <c r="M341" s="216">
        <v>5</v>
      </c>
      <c r="N341" s="213">
        <v>0</v>
      </c>
      <c r="O341" s="213"/>
      <c r="P341" s="213">
        <v>156916523</v>
      </c>
      <c r="Q341" s="213" t="s">
        <v>515</v>
      </c>
      <c r="R341" s="213" t="s">
        <v>516</v>
      </c>
    </row>
    <row r="342" spans="1:18" ht="24" x14ac:dyDescent="0.25">
      <c r="A342" s="212" t="s">
        <v>874</v>
      </c>
      <c r="B342" s="213">
        <v>6</v>
      </c>
      <c r="C342" s="214" t="s">
        <v>880</v>
      </c>
      <c r="D342" s="215">
        <v>469710046017</v>
      </c>
      <c r="E342" s="216">
        <v>551.05999999999995</v>
      </c>
      <c r="F342" s="216">
        <v>440.55</v>
      </c>
      <c r="G342" s="216">
        <v>2</v>
      </c>
      <c r="H342" s="216" t="s">
        <v>527</v>
      </c>
      <c r="I342" s="216" t="s">
        <v>519</v>
      </c>
      <c r="J342" s="216">
        <v>1971</v>
      </c>
      <c r="K342" s="216">
        <v>8</v>
      </c>
      <c r="L342" s="216">
        <v>0</v>
      </c>
      <c r="M342" s="216">
        <v>8</v>
      </c>
      <c r="N342" s="213">
        <v>0</v>
      </c>
      <c r="O342" s="213" t="s">
        <v>831</v>
      </c>
      <c r="P342" s="213"/>
      <c r="Q342" s="213"/>
      <c r="R342" s="213"/>
    </row>
    <row r="343" spans="1:18" ht="24" x14ac:dyDescent="0.25">
      <c r="A343" s="212" t="s">
        <v>874</v>
      </c>
      <c r="B343" s="213">
        <v>7</v>
      </c>
      <c r="C343" s="214" t="s">
        <v>881</v>
      </c>
      <c r="D343" s="215">
        <v>469820059013</v>
      </c>
      <c r="E343" s="216">
        <v>994.52</v>
      </c>
      <c r="F343" s="216">
        <v>736.44</v>
      </c>
      <c r="G343" s="216">
        <v>3</v>
      </c>
      <c r="H343" s="216" t="s">
        <v>518</v>
      </c>
      <c r="I343" s="216" t="s">
        <v>542</v>
      </c>
      <c r="J343" s="216">
        <v>1982</v>
      </c>
      <c r="K343" s="216">
        <v>0</v>
      </c>
      <c r="L343" s="213">
        <v>0</v>
      </c>
      <c r="M343" s="216">
        <v>12</v>
      </c>
      <c r="N343" s="213">
        <v>0</v>
      </c>
      <c r="O343" s="213" t="s">
        <v>831</v>
      </c>
      <c r="P343" s="213"/>
      <c r="Q343" s="213"/>
      <c r="R343" s="213"/>
    </row>
    <row r="344" spans="1:18" ht="24" x14ac:dyDescent="0.25">
      <c r="A344" s="212" t="s">
        <v>874</v>
      </c>
      <c r="B344" s="213">
        <v>8</v>
      </c>
      <c r="C344" s="214" t="s">
        <v>882</v>
      </c>
      <c r="D344" s="215">
        <v>469670037018</v>
      </c>
      <c r="E344" s="216">
        <v>521.65</v>
      </c>
      <c r="F344" s="216">
        <v>397.95</v>
      </c>
      <c r="G344" s="216">
        <v>2</v>
      </c>
      <c r="H344" s="216" t="s">
        <v>527</v>
      </c>
      <c r="I344" s="216" t="s">
        <v>524</v>
      </c>
      <c r="J344" s="216">
        <v>1967</v>
      </c>
      <c r="K344" s="216">
        <v>8</v>
      </c>
      <c r="L344" s="213">
        <v>0</v>
      </c>
      <c r="M344" s="216">
        <v>8</v>
      </c>
      <c r="N344" s="213">
        <v>0</v>
      </c>
      <c r="O344" s="213" t="s">
        <v>514</v>
      </c>
      <c r="P344" s="213">
        <v>156916523</v>
      </c>
      <c r="Q344" s="213" t="s">
        <v>515</v>
      </c>
      <c r="R344" s="213" t="s">
        <v>516</v>
      </c>
    </row>
    <row r="345" spans="1:18" ht="24" x14ac:dyDescent="0.25">
      <c r="A345" s="212" t="s">
        <v>874</v>
      </c>
      <c r="B345" s="213">
        <v>9</v>
      </c>
      <c r="C345" s="214" t="s">
        <v>883</v>
      </c>
      <c r="D345" s="215">
        <v>469640038014</v>
      </c>
      <c r="E345" s="216">
        <v>369.58</v>
      </c>
      <c r="F345" s="216">
        <v>367.18</v>
      </c>
      <c r="G345" s="216">
        <v>2</v>
      </c>
      <c r="H345" s="216" t="s">
        <v>527</v>
      </c>
      <c r="I345" s="216" t="s">
        <v>524</v>
      </c>
      <c r="J345" s="216">
        <v>1964</v>
      </c>
      <c r="K345" s="216">
        <v>8</v>
      </c>
      <c r="L345" s="213">
        <v>0</v>
      </c>
      <c r="M345" s="216">
        <v>8</v>
      </c>
      <c r="N345" s="213">
        <v>0</v>
      </c>
      <c r="O345" s="213" t="s">
        <v>831</v>
      </c>
      <c r="P345" s="213">
        <v>47104211482</v>
      </c>
      <c r="Q345" s="213" t="s">
        <v>884</v>
      </c>
      <c r="R345" s="213"/>
    </row>
    <row r="346" spans="1:18" ht="24" x14ac:dyDescent="0.25">
      <c r="A346" s="212" t="s">
        <v>874</v>
      </c>
      <c r="B346" s="213">
        <v>10</v>
      </c>
      <c r="C346" s="214" t="s">
        <v>885</v>
      </c>
      <c r="D346" s="215">
        <v>469660053019</v>
      </c>
      <c r="E346" s="216">
        <v>367.59</v>
      </c>
      <c r="F346" s="216">
        <v>365.26</v>
      </c>
      <c r="G346" s="216">
        <v>2</v>
      </c>
      <c r="H346" s="216" t="s">
        <v>527</v>
      </c>
      <c r="I346" s="216" t="s">
        <v>524</v>
      </c>
      <c r="J346" s="216">
        <v>1966</v>
      </c>
      <c r="K346" s="216">
        <v>1</v>
      </c>
      <c r="L346" s="213">
        <v>0</v>
      </c>
      <c r="M346" s="216">
        <v>8</v>
      </c>
      <c r="N346" s="213">
        <v>0</v>
      </c>
      <c r="O346" s="213" t="s">
        <v>514</v>
      </c>
      <c r="P346" s="213">
        <v>156916523</v>
      </c>
      <c r="Q346" s="213" t="s">
        <v>515</v>
      </c>
      <c r="R346" s="213" t="s">
        <v>516</v>
      </c>
    </row>
    <row r="347" spans="1:18" ht="24" x14ac:dyDescent="0.25">
      <c r="A347" s="212" t="s">
        <v>874</v>
      </c>
      <c r="B347" s="213">
        <v>11</v>
      </c>
      <c r="C347" s="214" t="s">
        <v>886</v>
      </c>
      <c r="D347" s="215">
        <v>469630051010</v>
      </c>
      <c r="E347" s="216">
        <v>154.96</v>
      </c>
      <c r="F347" s="216">
        <v>154.96</v>
      </c>
      <c r="G347" s="216">
        <v>2</v>
      </c>
      <c r="H347" s="216" t="s">
        <v>527</v>
      </c>
      <c r="I347" s="216" t="s">
        <v>519</v>
      </c>
      <c r="J347" s="216">
        <v>1963</v>
      </c>
      <c r="K347" s="216">
        <v>4</v>
      </c>
      <c r="L347" s="213">
        <v>0</v>
      </c>
      <c r="M347" s="216">
        <v>4</v>
      </c>
      <c r="N347" s="213">
        <v>0</v>
      </c>
      <c r="O347" s="213"/>
      <c r="P347" s="213"/>
      <c r="Q347" s="213"/>
      <c r="R347" s="213"/>
    </row>
    <row r="348" spans="1:18" ht="24.75" thickBot="1" x14ac:dyDescent="0.3">
      <c r="A348" s="212" t="s">
        <v>874</v>
      </c>
      <c r="B348" s="224">
        <v>12</v>
      </c>
      <c r="C348" s="225" t="s">
        <v>887</v>
      </c>
      <c r="D348" s="230">
        <v>469830022015</v>
      </c>
      <c r="E348" s="231">
        <v>751.08</v>
      </c>
      <c r="F348" s="231">
        <v>490.85</v>
      </c>
      <c r="G348" s="231">
        <v>2</v>
      </c>
      <c r="H348" s="231" t="s">
        <v>512</v>
      </c>
      <c r="I348" s="231" t="s">
        <v>513</v>
      </c>
      <c r="J348" s="231">
        <v>1983</v>
      </c>
      <c r="K348" s="231">
        <v>8</v>
      </c>
      <c r="L348" s="224">
        <v>0</v>
      </c>
      <c r="M348" s="231">
        <v>8</v>
      </c>
      <c r="N348" s="224">
        <v>0</v>
      </c>
      <c r="O348" s="224" t="s">
        <v>831</v>
      </c>
      <c r="P348" s="224">
        <v>43207120332</v>
      </c>
      <c r="Q348" s="224" t="s">
        <v>888</v>
      </c>
      <c r="R348" s="224"/>
    </row>
    <row r="349" spans="1:18" ht="24" x14ac:dyDescent="0.25">
      <c r="A349" s="233" t="s">
        <v>889</v>
      </c>
      <c r="B349" s="213">
        <v>1</v>
      </c>
      <c r="C349" s="214" t="s">
        <v>890</v>
      </c>
      <c r="D349" s="215">
        <v>469690074011</v>
      </c>
      <c r="E349" s="216">
        <v>251.63</v>
      </c>
      <c r="F349" s="216">
        <v>251.63</v>
      </c>
      <c r="G349" s="216">
        <v>2</v>
      </c>
      <c r="H349" s="216" t="s">
        <v>527</v>
      </c>
      <c r="I349" s="216" t="s">
        <v>524</v>
      </c>
      <c r="J349" s="216">
        <v>1969</v>
      </c>
      <c r="K349" s="216">
        <v>4</v>
      </c>
      <c r="L349" s="213">
        <v>0</v>
      </c>
      <c r="M349" s="216">
        <v>4</v>
      </c>
      <c r="N349" s="213">
        <v>0</v>
      </c>
      <c r="O349" s="213"/>
      <c r="P349" s="213"/>
      <c r="Q349" s="213"/>
      <c r="R349" s="213"/>
    </row>
    <row r="350" spans="1:18" ht="24" x14ac:dyDescent="0.25">
      <c r="A350" s="212" t="s">
        <v>889</v>
      </c>
      <c r="B350" s="213">
        <v>2</v>
      </c>
      <c r="C350" s="214" t="s">
        <v>891</v>
      </c>
      <c r="D350" s="215">
        <v>469690084019</v>
      </c>
      <c r="E350" s="216">
        <v>155.21</v>
      </c>
      <c r="F350" s="216">
        <v>155.21</v>
      </c>
      <c r="G350" s="216">
        <v>2</v>
      </c>
      <c r="H350" s="216" t="s">
        <v>527</v>
      </c>
      <c r="I350" s="216" t="s">
        <v>524</v>
      </c>
      <c r="J350" s="216">
        <v>1969</v>
      </c>
      <c r="K350" s="216">
        <v>4</v>
      </c>
      <c r="L350" s="213">
        <v>0</v>
      </c>
      <c r="M350" s="216">
        <v>4</v>
      </c>
      <c r="N350" s="213">
        <v>0</v>
      </c>
      <c r="O350" s="213"/>
      <c r="P350" s="213"/>
      <c r="Q350" s="213"/>
      <c r="R350" s="213"/>
    </row>
    <row r="351" spans="1:18" ht="24" x14ac:dyDescent="0.25">
      <c r="A351" s="212" t="s">
        <v>889</v>
      </c>
      <c r="B351" s="213">
        <v>3</v>
      </c>
      <c r="C351" s="214" t="s">
        <v>892</v>
      </c>
      <c r="D351" s="215">
        <v>469750056010</v>
      </c>
      <c r="E351" s="216">
        <v>517.45000000000005</v>
      </c>
      <c r="F351" s="216">
        <v>393.82</v>
      </c>
      <c r="G351" s="216">
        <v>2</v>
      </c>
      <c r="H351" s="216" t="s">
        <v>527</v>
      </c>
      <c r="I351" s="216" t="s">
        <v>513</v>
      </c>
      <c r="J351" s="216">
        <v>1975</v>
      </c>
      <c r="K351" s="216">
        <v>8</v>
      </c>
      <c r="L351" s="213">
        <v>0</v>
      </c>
      <c r="M351" s="216">
        <v>8</v>
      </c>
      <c r="N351" s="213">
        <v>0</v>
      </c>
      <c r="O351" s="213" t="s">
        <v>514</v>
      </c>
      <c r="P351" s="213">
        <v>156916523</v>
      </c>
      <c r="Q351" s="213" t="s">
        <v>515</v>
      </c>
      <c r="R351" s="213" t="s">
        <v>516</v>
      </c>
    </row>
    <row r="352" spans="1:18" ht="24" x14ac:dyDescent="0.25">
      <c r="A352" s="212" t="s">
        <v>889</v>
      </c>
      <c r="B352" s="213">
        <v>4</v>
      </c>
      <c r="C352" s="214" t="s">
        <v>893</v>
      </c>
      <c r="D352" s="215">
        <v>469600084010</v>
      </c>
      <c r="E352" s="216">
        <v>212.07</v>
      </c>
      <c r="F352" s="216">
        <v>201.29</v>
      </c>
      <c r="G352" s="216">
        <v>1</v>
      </c>
      <c r="H352" s="216" t="s">
        <v>527</v>
      </c>
      <c r="I352" s="216" t="s">
        <v>524</v>
      </c>
      <c r="J352" s="216">
        <v>1960</v>
      </c>
      <c r="K352" s="216">
        <v>3</v>
      </c>
      <c r="L352" s="213">
        <v>0</v>
      </c>
      <c r="M352" s="216">
        <v>3</v>
      </c>
      <c r="N352" s="213">
        <v>0</v>
      </c>
      <c r="O352" s="213"/>
      <c r="P352" s="213"/>
      <c r="Q352" s="213"/>
      <c r="R352" s="213"/>
    </row>
    <row r="353" spans="1:18" ht="24" x14ac:dyDescent="0.25">
      <c r="A353" s="212" t="s">
        <v>889</v>
      </c>
      <c r="B353" s="213">
        <v>5</v>
      </c>
      <c r="C353" s="214" t="s">
        <v>894</v>
      </c>
      <c r="D353" s="215">
        <v>469690050019</v>
      </c>
      <c r="E353" s="216">
        <v>249.3</v>
      </c>
      <c r="F353" s="216">
        <v>203.07</v>
      </c>
      <c r="G353" s="216">
        <v>2</v>
      </c>
      <c r="H353" s="216" t="s">
        <v>527</v>
      </c>
      <c r="I353" s="216" t="s">
        <v>524</v>
      </c>
      <c r="J353" s="216">
        <v>1969</v>
      </c>
      <c r="K353" s="216">
        <v>4</v>
      </c>
      <c r="L353" s="213">
        <v>0</v>
      </c>
      <c r="M353" s="216">
        <v>4</v>
      </c>
      <c r="N353" s="213">
        <v>0</v>
      </c>
      <c r="O353" s="213"/>
      <c r="P353" s="213"/>
      <c r="Q353" s="213"/>
      <c r="R353" s="213"/>
    </row>
    <row r="354" spans="1:18" ht="24" x14ac:dyDescent="0.25">
      <c r="A354" s="212" t="s">
        <v>889</v>
      </c>
      <c r="B354" s="213">
        <v>6</v>
      </c>
      <c r="C354" s="214" t="s">
        <v>895</v>
      </c>
      <c r="D354" s="215">
        <v>469820023019</v>
      </c>
      <c r="E354" s="216">
        <v>750.17</v>
      </c>
      <c r="F354" s="216">
        <v>421</v>
      </c>
      <c r="G354" s="216">
        <v>2</v>
      </c>
      <c r="H354" s="216" t="s">
        <v>523</v>
      </c>
      <c r="I354" s="216" t="s">
        <v>524</v>
      </c>
      <c r="J354" s="216">
        <v>1982</v>
      </c>
      <c r="K354" s="216">
        <v>7</v>
      </c>
      <c r="L354" s="213">
        <v>1</v>
      </c>
      <c r="M354" s="216">
        <v>7</v>
      </c>
      <c r="N354" s="213">
        <v>1</v>
      </c>
      <c r="O354" s="213"/>
      <c r="P354" s="213"/>
      <c r="Q354" s="213"/>
      <c r="R354" s="213"/>
    </row>
    <row r="355" spans="1:18" ht="24" x14ac:dyDescent="0.25">
      <c r="A355" s="212" t="s">
        <v>889</v>
      </c>
      <c r="B355" s="213">
        <v>7</v>
      </c>
      <c r="C355" s="214" t="s">
        <v>896</v>
      </c>
      <c r="D355" s="215">
        <v>469700084014</v>
      </c>
      <c r="E355" s="216">
        <v>403.9</v>
      </c>
      <c r="F355" s="216">
        <v>334.47</v>
      </c>
      <c r="G355" s="216">
        <v>2</v>
      </c>
      <c r="H355" s="216" t="s">
        <v>550</v>
      </c>
      <c r="I355" s="216" t="s">
        <v>524</v>
      </c>
      <c r="J355" s="216">
        <v>1970</v>
      </c>
      <c r="K355" s="216">
        <v>6</v>
      </c>
      <c r="L355" s="213">
        <v>0</v>
      </c>
      <c r="M355" s="216">
        <v>6</v>
      </c>
      <c r="N355" s="213">
        <v>0</v>
      </c>
      <c r="O355" s="213"/>
      <c r="P355" s="213"/>
      <c r="Q355" s="213"/>
      <c r="R355" s="213"/>
    </row>
    <row r="356" spans="1:18" ht="24" x14ac:dyDescent="0.25">
      <c r="A356" s="212" t="s">
        <v>889</v>
      </c>
      <c r="B356" s="213">
        <v>8</v>
      </c>
      <c r="C356" s="214" t="s">
        <v>897</v>
      </c>
      <c r="D356" s="215">
        <v>469710127017</v>
      </c>
      <c r="E356" s="216">
        <v>768.56</v>
      </c>
      <c r="F356" s="216">
        <v>574.80999999999995</v>
      </c>
      <c r="G356" s="216">
        <v>2</v>
      </c>
      <c r="H356" s="216" t="s">
        <v>550</v>
      </c>
      <c r="I356" s="216" t="s">
        <v>524</v>
      </c>
      <c r="J356" s="216">
        <v>1971</v>
      </c>
      <c r="K356" s="216">
        <v>12</v>
      </c>
      <c r="L356" s="213">
        <v>0</v>
      </c>
      <c r="M356" s="216">
        <v>12</v>
      </c>
      <c r="N356" s="213">
        <v>0</v>
      </c>
      <c r="O356" s="213"/>
      <c r="P356" s="213"/>
      <c r="Q356" s="213"/>
      <c r="R356" s="213"/>
    </row>
    <row r="357" spans="1:18" ht="24" x14ac:dyDescent="0.25">
      <c r="A357" s="212" t="s">
        <v>889</v>
      </c>
      <c r="B357" s="213">
        <v>9</v>
      </c>
      <c r="C357" s="214" t="s">
        <v>898</v>
      </c>
      <c r="D357" s="215">
        <v>469830045010</v>
      </c>
      <c r="E357" s="216">
        <v>168.95</v>
      </c>
      <c r="F357" s="216">
        <v>168.95</v>
      </c>
      <c r="G357" s="216">
        <v>1</v>
      </c>
      <c r="H357" s="216" t="s">
        <v>550</v>
      </c>
      <c r="I357" s="216" t="s">
        <v>524</v>
      </c>
      <c r="J357" s="216">
        <v>1989</v>
      </c>
      <c r="K357" s="216">
        <v>0</v>
      </c>
      <c r="L357" s="213">
        <v>0</v>
      </c>
      <c r="M357" s="216">
        <v>0</v>
      </c>
      <c r="N357" s="213">
        <v>0</v>
      </c>
      <c r="O357" s="213"/>
      <c r="P357" s="213">
        <v>156916523</v>
      </c>
      <c r="Q357" s="213" t="s">
        <v>515</v>
      </c>
      <c r="R357" s="213" t="s">
        <v>516</v>
      </c>
    </row>
    <row r="358" spans="1:18" ht="24" x14ac:dyDescent="0.25">
      <c r="A358" s="212" t="s">
        <v>889</v>
      </c>
      <c r="B358" s="213">
        <v>10</v>
      </c>
      <c r="C358" s="214" t="s">
        <v>899</v>
      </c>
      <c r="D358" s="215">
        <v>440006743388</v>
      </c>
      <c r="E358" s="216">
        <v>160.63</v>
      </c>
      <c r="F358" s="216">
        <v>160.63</v>
      </c>
      <c r="G358" s="216"/>
      <c r="H358" s="216" t="s">
        <v>527</v>
      </c>
      <c r="I358" s="216" t="s">
        <v>524</v>
      </c>
      <c r="J358" s="216">
        <v>1986</v>
      </c>
      <c r="K358" s="216">
        <v>3</v>
      </c>
      <c r="L358" s="213">
        <v>0</v>
      </c>
      <c r="M358" s="216">
        <v>3</v>
      </c>
      <c r="N358" s="213">
        <v>0</v>
      </c>
      <c r="O358" s="213"/>
      <c r="P358" s="213"/>
      <c r="Q358" s="213"/>
      <c r="R358" s="213"/>
    </row>
    <row r="359" spans="1:18" ht="24" x14ac:dyDescent="0.25">
      <c r="A359" s="212" t="s">
        <v>889</v>
      </c>
      <c r="B359" s="213">
        <v>11</v>
      </c>
      <c r="C359" s="214" t="s">
        <v>900</v>
      </c>
      <c r="D359" s="215">
        <v>440008376410</v>
      </c>
      <c r="E359" s="216">
        <v>156.54</v>
      </c>
      <c r="F359" s="216">
        <v>156.54</v>
      </c>
      <c r="G359" s="216">
        <v>2</v>
      </c>
      <c r="H359" s="216" t="s">
        <v>527</v>
      </c>
      <c r="I359" s="216" t="s">
        <v>524</v>
      </c>
      <c r="J359" s="216">
        <v>1975</v>
      </c>
      <c r="K359" s="216">
        <v>4</v>
      </c>
      <c r="L359" s="213">
        <v>0</v>
      </c>
      <c r="M359" s="216">
        <v>4</v>
      </c>
      <c r="N359" s="213">
        <v>0</v>
      </c>
      <c r="O359" s="213" t="s">
        <v>831</v>
      </c>
      <c r="P359" s="213"/>
      <c r="Q359" s="213"/>
      <c r="R359" s="213"/>
    </row>
    <row r="360" spans="1:18" ht="24" x14ac:dyDescent="0.25">
      <c r="A360" s="212" t="s">
        <v>889</v>
      </c>
      <c r="B360" s="213">
        <v>12</v>
      </c>
      <c r="C360" s="214" t="s">
        <v>901</v>
      </c>
      <c r="D360" s="215">
        <v>469660066018</v>
      </c>
      <c r="E360" s="216">
        <v>153.88999999999999</v>
      </c>
      <c r="F360" s="216">
        <v>153.88999999999999</v>
      </c>
      <c r="G360" s="216">
        <v>2</v>
      </c>
      <c r="H360" s="216" t="s">
        <v>527</v>
      </c>
      <c r="I360" s="216" t="s">
        <v>524</v>
      </c>
      <c r="J360" s="216">
        <v>1966</v>
      </c>
      <c r="K360" s="216">
        <v>4</v>
      </c>
      <c r="L360" s="213">
        <v>0</v>
      </c>
      <c r="M360" s="216">
        <v>4</v>
      </c>
      <c r="N360" s="213">
        <v>0</v>
      </c>
      <c r="O360" s="213"/>
      <c r="P360" s="213"/>
      <c r="Q360" s="213"/>
      <c r="R360" s="213"/>
    </row>
    <row r="361" spans="1:18" ht="24" x14ac:dyDescent="0.25">
      <c r="A361" s="212" t="s">
        <v>889</v>
      </c>
      <c r="B361" s="213">
        <v>13</v>
      </c>
      <c r="C361" s="214" t="s">
        <v>902</v>
      </c>
      <c r="D361" s="215">
        <v>440005077281</v>
      </c>
      <c r="E361" s="216">
        <v>413.68</v>
      </c>
      <c r="F361" s="216">
        <v>321.76</v>
      </c>
      <c r="G361" s="216">
        <v>2</v>
      </c>
      <c r="H361" s="216" t="s">
        <v>527</v>
      </c>
      <c r="I361" s="216" t="s">
        <v>519</v>
      </c>
      <c r="J361" s="216">
        <v>1975</v>
      </c>
      <c r="K361" s="216">
        <v>4</v>
      </c>
      <c r="L361" s="213">
        <v>0</v>
      </c>
      <c r="M361" s="216">
        <v>4</v>
      </c>
      <c r="N361" s="213">
        <v>0</v>
      </c>
      <c r="O361" s="213"/>
      <c r="P361" s="213"/>
      <c r="Q361" s="213"/>
      <c r="R361" s="213"/>
    </row>
    <row r="362" spans="1:18" ht="24.75" thickBot="1" x14ac:dyDescent="0.3">
      <c r="A362" s="223" t="s">
        <v>889</v>
      </c>
      <c r="B362" s="224">
        <v>14</v>
      </c>
      <c r="C362" s="225" t="s">
        <v>903</v>
      </c>
      <c r="D362" s="230">
        <v>468860005014</v>
      </c>
      <c r="E362" s="231">
        <v>129.86000000000001</v>
      </c>
      <c r="F362" s="231">
        <v>129.86000000000001</v>
      </c>
      <c r="G362" s="231">
        <v>1</v>
      </c>
      <c r="H362" s="231" t="s">
        <v>527</v>
      </c>
      <c r="I362" s="231" t="s">
        <v>601</v>
      </c>
      <c r="J362" s="231">
        <v>1886</v>
      </c>
      <c r="K362" s="231">
        <v>0</v>
      </c>
      <c r="L362" s="224">
        <v>0</v>
      </c>
      <c r="M362" s="231">
        <v>3</v>
      </c>
      <c r="N362" s="224">
        <v>0</v>
      </c>
      <c r="O362" s="224"/>
      <c r="P362" s="224"/>
      <c r="Q362" s="224"/>
      <c r="R362" s="224"/>
    </row>
    <row r="363" spans="1:18" ht="24" x14ac:dyDescent="0.25">
      <c r="A363" s="212" t="s">
        <v>904</v>
      </c>
      <c r="B363" s="213">
        <v>1</v>
      </c>
      <c r="C363" s="214" t="s">
        <v>905</v>
      </c>
      <c r="D363" s="215">
        <v>469510018015</v>
      </c>
      <c r="E363" s="216">
        <v>459.46</v>
      </c>
      <c r="F363" s="216">
        <v>437.2</v>
      </c>
      <c r="G363" s="216">
        <v>2</v>
      </c>
      <c r="H363" s="216" t="s">
        <v>611</v>
      </c>
      <c r="I363" s="216" t="s">
        <v>524</v>
      </c>
      <c r="J363" s="216">
        <v>1951</v>
      </c>
      <c r="K363" s="216">
        <v>9</v>
      </c>
      <c r="L363" s="213">
        <v>0</v>
      </c>
      <c r="M363" s="216">
        <v>9</v>
      </c>
      <c r="N363" s="213">
        <v>0</v>
      </c>
      <c r="O363" s="213"/>
      <c r="P363" s="213"/>
      <c r="Q363" s="213"/>
      <c r="R363" s="213"/>
    </row>
    <row r="364" spans="1:18" ht="24" x14ac:dyDescent="0.25">
      <c r="A364" s="212" t="s">
        <v>904</v>
      </c>
      <c r="B364" s="213">
        <v>2</v>
      </c>
      <c r="C364" s="214" t="s">
        <v>905</v>
      </c>
      <c r="D364" s="215">
        <v>469540032016</v>
      </c>
      <c r="E364" s="216">
        <v>224.44</v>
      </c>
      <c r="F364" s="216">
        <v>224.44</v>
      </c>
      <c r="G364" s="216">
        <v>1</v>
      </c>
      <c r="H364" s="216" t="s">
        <v>611</v>
      </c>
      <c r="I364" s="216" t="s">
        <v>773</v>
      </c>
      <c r="J364" s="216">
        <v>1954</v>
      </c>
      <c r="K364" s="216">
        <v>4</v>
      </c>
      <c r="L364" s="213">
        <v>0</v>
      </c>
      <c r="M364" s="216">
        <v>4</v>
      </c>
      <c r="N364" s="213">
        <v>0</v>
      </c>
      <c r="O364" s="213"/>
      <c r="P364" s="213"/>
      <c r="Q364" s="213"/>
      <c r="R364" s="213"/>
    </row>
    <row r="365" spans="1:18" ht="24" x14ac:dyDescent="0.25">
      <c r="A365" s="212" t="s">
        <v>904</v>
      </c>
      <c r="B365" s="213">
        <v>3</v>
      </c>
      <c r="C365" s="214" t="s">
        <v>905</v>
      </c>
      <c r="D365" s="215">
        <v>469590042013</v>
      </c>
      <c r="E365" s="216">
        <v>248.17</v>
      </c>
      <c r="F365" s="216">
        <v>234.73</v>
      </c>
      <c r="G365" s="216">
        <v>1</v>
      </c>
      <c r="H365" s="216" t="s">
        <v>906</v>
      </c>
      <c r="I365" s="216" t="s">
        <v>524</v>
      </c>
      <c r="J365" s="216">
        <v>1959</v>
      </c>
      <c r="K365" s="216">
        <v>5</v>
      </c>
      <c r="L365" s="213">
        <v>0</v>
      </c>
      <c r="M365" s="216">
        <v>5</v>
      </c>
      <c r="N365" s="213">
        <v>0</v>
      </c>
      <c r="O365" s="213"/>
      <c r="P365" s="213"/>
      <c r="Q365" s="213"/>
      <c r="R365" s="213"/>
    </row>
    <row r="366" spans="1:18" ht="24" x14ac:dyDescent="0.25">
      <c r="A366" s="212" t="s">
        <v>904</v>
      </c>
      <c r="B366" s="213">
        <v>4</v>
      </c>
      <c r="C366" s="214" t="s">
        <v>907</v>
      </c>
      <c r="D366" s="215">
        <v>469540027017</v>
      </c>
      <c r="E366" s="216">
        <v>250.4</v>
      </c>
      <c r="F366" s="216">
        <v>250.4</v>
      </c>
      <c r="G366" s="216">
        <v>1</v>
      </c>
      <c r="H366" s="216" t="s">
        <v>611</v>
      </c>
      <c r="I366" s="216" t="s">
        <v>524</v>
      </c>
      <c r="J366" s="216">
        <v>1954</v>
      </c>
      <c r="K366" s="216">
        <v>5</v>
      </c>
      <c r="L366" s="213">
        <v>0</v>
      </c>
      <c r="M366" s="216">
        <v>5</v>
      </c>
      <c r="N366" s="213">
        <v>0</v>
      </c>
      <c r="O366" s="213"/>
      <c r="P366" s="213"/>
      <c r="Q366" s="213"/>
      <c r="R366" s="213"/>
    </row>
    <row r="367" spans="1:18" ht="24" x14ac:dyDescent="0.25">
      <c r="A367" s="212" t="s">
        <v>904</v>
      </c>
      <c r="B367" s="213">
        <v>5</v>
      </c>
      <c r="C367" s="214" t="s">
        <v>908</v>
      </c>
      <c r="D367" s="215">
        <v>469540028014</v>
      </c>
      <c r="E367" s="216">
        <v>249.23</v>
      </c>
      <c r="F367" s="216">
        <v>247.81</v>
      </c>
      <c r="G367" s="216">
        <v>1</v>
      </c>
      <c r="H367" s="216" t="s">
        <v>611</v>
      </c>
      <c r="I367" s="216" t="s">
        <v>524</v>
      </c>
      <c r="J367" s="216">
        <v>1954</v>
      </c>
      <c r="K367" s="216">
        <v>6</v>
      </c>
      <c r="L367" s="213">
        <v>0</v>
      </c>
      <c r="M367" s="216">
        <v>6</v>
      </c>
      <c r="N367" s="213">
        <v>0</v>
      </c>
      <c r="O367" s="213"/>
      <c r="P367" s="213"/>
      <c r="Q367" s="213"/>
      <c r="R367" s="213"/>
    </row>
    <row r="368" spans="1:18" ht="24" x14ac:dyDescent="0.25">
      <c r="A368" s="212" t="s">
        <v>904</v>
      </c>
      <c r="B368" s="213">
        <v>6</v>
      </c>
      <c r="C368" s="214" t="s">
        <v>909</v>
      </c>
      <c r="D368" s="215">
        <v>469570037016</v>
      </c>
      <c r="E368" s="216">
        <v>246.81</v>
      </c>
      <c r="F368" s="216">
        <v>246.81</v>
      </c>
      <c r="G368" s="216">
        <v>1</v>
      </c>
      <c r="H368" s="216" t="s">
        <v>910</v>
      </c>
      <c r="I368" s="216" t="s">
        <v>524</v>
      </c>
      <c r="J368" s="216">
        <v>1957</v>
      </c>
      <c r="K368" s="216">
        <v>5</v>
      </c>
      <c r="L368" s="213">
        <v>0</v>
      </c>
      <c r="M368" s="216">
        <v>5</v>
      </c>
      <c r="N368" s="213">
        <v>0</v>
      </c>
      <c r="O368" s="213"/>
      <c r="P368" s="213"/>
      <c r="Q368" s="213"/>
      <c r="R368" s="213"/>
    </row>
    <row r="369" spans="1:18" ht="24" x14ac:dyDescent="0.25">
      <c r="A369" s="212" t="s">
        <v>904</v>
      </c>
      <c r="B369" s="213">
        <v>7</v>
      </c>
      <c r="C369" s="214" t="s">
        <v>911</v>
      </c>
      <c r="D369" s="215">
        <v>469540026014</v>
      </c>
      <c r="E369" s="216">
        <v>245.7</v>
      </c>
      <c r="F369" s="216">
        <v>236.96</v>
      </c>
      <c r="G369" s="216">
        <v>1</v>
      </c>
      <c r="H369" s="216" t="s">
        <v>910</v>
      </c>
      <c r="I369" s="216" t="s">
        <v>524</v>
      </c>
      <c r="J369" s="216">
        <v>1954</v>
      </c>
      <c r="K369" s="216">
        <v>6</v>
      </c>
      <c r="L369" s="213">
        <v>0</v>
      </c>
      <c r="M369" s="216">
        <v>6</v>
      </c>
      <c r="N369" s="213">
        <v>0</v>
      </c>
      <c r="O369" s="213"/>
      <c r="P369" s="213"/>
      <c r="Q369" s="213"/>
      <c r="R369" s="213"/>
    </row>
    <row r="370" spans="1:18" ht="24" x14ac:dyDescent="0.25">
      <c r="A370" s="212" t="s">
        <v>904</v>
      </c>
      <c r="B370" s="213">
        <v>8</v>
      </c>
      <c r="C370" s="214" t="s">
        <v>912</v>
      </c>
      <c r="D370" s="215">
        <v>469490027014</v>
      </c>
      <c r="E370" s="216">
        <v>244.33</v>
      </c>
      <c r="F370" s="216">
        <v>244.33</v>
      </c>
      <c r="G370" s="216">
        <v>1</v>
      </c>
      <c r="H370" s="216" t="s">
        <v>611</v>
      </c>
      <c r="I370" s="216" t="s">
        <v>773</v>
      </c>
      <c r="J370" s="216">
        <v>1949</v>
      </c>
      <c r="K370" s="216">
        <v>4</v>
      </c>
      <c r="L370" s="213">
        <v>0</v>
      </c>
      <c r="M370" s="216">
        <v>4</v>
      </c>
      <c r="N370" s="213">
        <v>0</v>
      </c>
      <c r="O370" s="213"/>
      <c r="P370" s="213"/>
      <c r="Q370" s="213"/>
      <c r="R370" s="213"/>
    </row>
    <row r="371" spans="1:18" ht="24" x14ac:dyDescent="0.25">
      <c r="A371" s="212" t="s">
        <v>904</v>
      </c>
      <c r="B371" s="213">
        <v>9</v>
      </c>
      <c r="C371" s="214" t="s">
        <v>913</v>
      </c>
      <c r="D371" s="215">
        <v>469690077014</v>
      </c>
      <c r="E371" s="216">
        <v>124</v>
      </c>
      <c r="F371" s="216">
        <v>122.83</v>
      </c>
      <c r="G371" s="216">
        <v>2</v>
      </c>
      <c r="H371" s="216" t="s">
        <v>527</v>
      </c>
      <c r="I371" s="216" t="s">
        <v>524</v>
      </c>
      <c r="J371" s="216">
        <v>1969</v>
      </c>
      <c r="K371" s="216">
        <v>3</v>
      </c>
      <c r="L371" s="213">
        <v>0</v>
      </c>
      <c r="M371" s="216">
        <v>3</v>
      </c>
      <c r="N371" s="213">
        <v>0</v>
      </c>
      <c r="O371" s="213"/>
      <c r="P371" s="213"/>
      <c r="Q371" s="213"/>
      <c r="R371" s="213"/>
    </row>
    <row r="372" spans="1:18" ht="24" x14ac:dyDescent="0.25">
      <c r="A372" s="212" t="s">
        <v>904</v>
      </c>
      <c r="B372" s="213">
        <v>10</v>
      </c>
      <c r="C372" s="214" t="s">
        <v>914</v>
      </c>
      <c r="D372" s="215">
        <v>468950002010</v>
      </c>
      <c r="E372" s="216">
        <v>138.27000000000001</v>
      </c>
      <c r="F372" s="216">
        <v>138.27000000000001</v>
      </c>
      <c r="G372" s="216">
        <v>1</v>
      </c>
      <c r="H372" s="216" t="s">
        <v>611</v>
      </c>
      <c r="I372" s="216" t="s">
        <v>524</v>
      </c>
      <c r="J372" s="216">
        <v>1895</v>
      </c>
      <c r="K372" s="216">
        <v>3</v>
      </c>
      <c r="L372" s="213">
        <v>0</v>
      </c>
      <c r="M372" s="216">
        <v>3</v>
      </c>
      <c r="N372" s="213">
        <v>0</v>
      </c>
      <c r="O372" s="213"/>
      <c r="P372" s="213"/>
      <c r="Q372" s="213"/>
      <c r="R372" s="213"/>
    </row>
    <row r="373" spans="1:18" ht="24" x14ac:dyDescent="0.25">
      <c r="A373" s="212" t="s">
        <v>904</v>
      </c>
      <c r="B373" s="213">
        <v>11</v>
      </c>
      <c r="C373" s="214" t="s">
        <v>915</v>
      </c>
      <c r="D373" s="215">
        <v>469550025016</v>
      </c>
      <c r="E373" s="216">
        <v>210.57</v>
      </c>
      <c r="F373" s="216">
        <v>210.57</v>
      </c>
      <c r="G373" s="216">
        <v>1</v>
      </c>
      <c r="H373" s="216" t="s">
        <v>527</v>
      </c>
      <c r="I373" s="216" t="s">
        <v>524</v>
      </c>
      <c r="J373" s="216">
        <v>1955</v>
      </c>
      <c r="K373" s="216">
        <v>4</v>
      </c>
      <c r="L373" s="213">
        <v>0</v>
      </c>
      <c r="M373" s="216">
        <v>4</v>
      </c>
      <c r="N373" s="213">
        <v>0</v>
      </c>
      <c r="O373" s="213"/>
      <c r="P373" s="213"/>
      <c r="Q373" s="213"/>
      <c r="R373" s="213"/>
    </row>
    <row r="374" spans="1:18" ht="24" x14ac:dyDescent="0.25">
      <c r="A374" s="212" t="s">
        <v>904</v>
      </c>
      <c r="B374" s="213">
        <v>12</v>
      </c>
      <c r="C374" s="214" t="s">
        <v>916</v>
      </c>
      <c r="D374" s="215">
        <v>469400046012</v>
      </c>
      <c r="E374" s="216">
        <v>175.31</v>
      </c>
      <c r="F374" s="216">
        <v>100.38</v>
      </c>
      <c r="G374" s="216">
        <v>1</v>
      </c>
      <c r="H374" s="216" t="s">
        <v>550</v>
      </c>
      <c r="I374" s="216" t="s">
        <v>524</v>
      </c>
      <c r="J374" s="216">
        <v>1880</v>
      </c>
      <c r="K374" s="216">
        <v>3</v>
      </c>
      <c r="L374" s="213">
        <v>0</v>
      </c>
      <c r="M374" s="216">
        <v>3</v>
      </c>
      <c r="N374" s="213">
        <v>0</v>
      </c>
      <c r="O374" s="213"/>
      <c r="P374" s="213"/>
      <c r="Q374" s="213"/>
      <c r="R374" s="213"/>
    </row>
    <row r="375" spans="1:18" ht="24" x14ac:dyDescent="0.25">
      <c r="A375" s="212" t="s">
        <v>904</v>
      </c>
      <c r="B375" s="213">
        <v>13</v>
      </c>
      <c r="C375" s="214" t="s">
        <v>917</v>
      </c>
      <c r="D375" s="215">
        <v>468700001238</v>
      </c>
      <c r="E375" s="216">
        <v>102.98</v>
      </c>
      <c r="F375" s="216">
        <v>102.98</v>
      </c>
      <c r="G375" s="216">
        <v>1</v>
      </c>
      <c r="H375" s="216" t="s">
        <v>918</v>
      </c>
      <c r="I375" s="216" t="s">
        <v>524</v>
      </c>
      <c r="J375" s="216">
        <v>1968</v>
      </c>
      <c r="K375" s="216">
        <v>3</v>
      </c>
      <c r="L375" s="213">
        <v>0</v>
      </c>
      <c r="M375" s="216">
        <v>3</v>
      </c>
      <c r="N375" s="213">
        <v>0</v>
      </c>
      <c r="O375" s="213"/>
      <c r="P375" s="213"/>
      <c r="Q375" s="213"/>
      <c r="R375" s="213"/>
    </row>
    <row r="376" spans="1:18" ht="24" x14ac:dyDescent="0.25">
      <c r="A376" s="212" t="s">
        <v>904</v>
      </c>
      <c r="B376" s="213">
        <v>14</v>
      </c>
      <c r="C376" s="214" t="s">
        <v>919</v>
      </c>
      <c r="D376" s="215">
        <v>468700001281</v>
      </c>
      <c r="E376" s="216">
        <v>153.6</v>
      </c>
      <c r="F376" s="216">
        <v>153.6</v>
      </c>
      <c r="G376" s="216">
        <v>1</v>
      </c>
      <c r="H376" s="216" t="s">
        <v>918</v>
      </c>
      <c r="I376" s="216" t="s">
        <v>524</v>
      </c>
      <c r="J376" s="216">
        <v>1969</v>
      </c>
      <c r="K376" s="216">
        <v>4</v>
      </c>
      <c r="L376" s="213">
        <v>0</v>
      </c>
      <c r="M376" s="216">
        <v>4</v>
      </c>
      <c r="N376" s="213">
        <v>0</v>
      </c>
      <c r="O376" s="213"/>
      <c r="P376" s="213"/>
      <c r="Q376" s="213"/>
      <c r="R376" s="213"/>
    </row>
    <row r="377" spans="1:18" ht="24" x14ac:dyDescent="0.25">
      <c r="A377" s="212" t="s">
        <v>904</v>
      </c>
      <c r="B377" s="213">
        <v>15</v>
      </c>
      <c r="C377" s="214" t="s">
        <v>920</v>
      </c>
      <c r="D377" s="215">
        <v>468700001227</v>
      </c>
      <c r="E377" s="216">
        <v>407.77</v>
      </c>
      <c r="F377" s="216">
        <v>365.25</v>
      </c>
      <c r="G377" s="216">
        <v>2</v>
      </c>
      <c r="H377" s="216" t="s">
        <v>527</v>
      </c>
      <c r="I377" s="216" t="s">
        <v>519</v>
      </c>
      <c r="J377" s="216">
        <v>1963</v>
      </c>
      <c r="K377" s="216">
        <v>8</v>
      </c>
      <c r="L377" s="213">
        <v>0</v>
      </c>
      <c r="M377" s="216">
        <v>8</v>
      </c>
      <c r="N377" s="213">
        <v>0</v>
      </c>
      <c r="O377" s="213"/>
      <c r="P377" s="213"/>
      <c r="Q377" s="213"/>
      <c r="R377" s="213"/>
    </row>
    <row r="378" spans="1:18" ht="24" x14ac:dyDescent="0.25">
      <c r="A378" s="212" t="s">
        <v>904</v>
      </c>
      <c r="B378" s="213">
        <v>16</v>
      </c>
      <c r="C378" s="214" t="s">
        <v>921</v>
      </c>
      <c r="D378" s="215">
        <v>469740144010</v>
      </c>
      <c r="E378" s="216">
        <v>132.69</v>
      </c>
      <c r="F378" s="216">
        <v>132.69</v>
      </c>
      <c r="G378" s="216">
        <v>1</v>
      </c>
      <c r="H378" s="216" t="s">
        <v>550</v>
      </c>
      <c r="I378" s="216" t="s">
        <v>524</v>
      </c>
      <c r="J378" s="216">
        <v>1974</v>
      </c>
      <c r="K378" s="216">
        <v>3</v>
      </c>
      <c r="L378" s="213">
        <v>0</v>
      </c>
      <c r="M378" s="216">
        <v>3</v>
      </c>
      <c r="N378" s="213">
        <v>0</v>
      </c>
      <c r="O378" s="213"/>
      <c r="P378" s="213"/>
      <c r="Q378" s="213"/>
      <c r="R378" s="213"/>
    </row>
    <row r="379" spans="1:18" ht="24" x14ac:dyDescent="0.25">
      <c r="A379" s="212" t="s">
        <v>904</v>
      </c>
      <c r="B379" s="213">
        <v>17</v>
      </c>
      <c r="C379" s="214" t="s">
        <v>922</v>
      </c>
      <c r="D379" s="215">
        <v>469850170029</v>
      </c>
      <c r="E379" s="216">
        <v>164.25</v>
      </c>
      <c r="F379" s="216">
        <v>159.38999999999999</v>
      </c>
      <c r="G379" s="216">
        <v>2</v>
      </c>
      <c r="H379" s="216" t="s">
        <v>550</v>
      </c>
      <c r="I379" s="216" t="s">
        <v>519</v>
      </c>
      <c r="J379" s="216">
        <v>1967</v>
      </c>
      <c r="K379" s="216">
        <v>4</v>
      </c>
      <c r="L379" s="213">
        <v>0</v>
      </c>
      <c r="M379" s="216">
        <v>4</v>
      </c>
      <c r="N379" s="213">
        <v>0</v>
      </c>
      <c r="O379" s="213"/>
      <c r="P379" s="213"/>
      <c r="Q379" s="213"/>
      <c r="R379" s="213"/>
    </row>
    <row r="380" spans="1:18" ht="24" x14ac:dyDescent="0.25">
      <c r="A380" s="212" t="s">
        <v>904</v>
      </c>
      <c r="B380" s="213">
        <v>18</v>
      </c>
      <c r="C380" s="214" t="s">
        <v>923</v>
      </c>
      <c r="D380" s="215">
        <v>469850170018</v>
      </c>
      <c r="E380" s="216">
        <v>750.75</v>
      </c>
      <c r="F380" s="216">
        <v>490.12</v>
      </c>
      <c r="G380" s="216">
        <v>2</v>
      </c>
      <c r="H380" s="216" t="s">
        <v>512</v>
      </c>
      <c r="I380" s="216" t="s">
        <v>519</v>
      </c>
      <c r="J380" s="216">
        <v>1985</v>
      </c>
      <c r="K380" s="216">
        <v>8</v>
      </c>
      <c r="L380" s="213">
        <v>0</v>
      </c>
      <c r="M380" s="216">
        <v>8</v>
      </c>
      <c r="N380" s="213">
        <v>0</v>
      </c>
      <c r="O380" s="213"/>
      <c r="P380" s="213"/>
      <c r="Q380" s="213"/>
      <c r="R380" s="213"/>
    </row>
    <row r="381" spans="1:18" ht="24" x14ac:dyDescent="0.25">
      <c r="A381" s="212" t="s">
        <v>904</v>
      </c>
      <c r="B381" s="213">
        <v>19</v>
      </c>
      <c r="C381" s="214" t="s">
        <v>924</v>
      </c>
      <c r="D381" s="215">
        <v>469920098016</v>
      </c>
      <c r="E381" s="216">
        <v>405.36</v>
      </c>
      <c r="F381" s="216">
        <v>329.69</v>
      </c>
      <c r="G381" s="216">
        <v>2</v>
      </c>
      <c r="H381" s="216" t="s">
        <v>550</v>
      </c>
      <c r="I381" s="216" t="s">
        <v>513</v>
      </c>
      <c r="J381" s="216">
        <v>1983</v>
      </c>
      <c r="K381" s="216">
        <v>4</v>
      </c>
      <c r="L381" s="213">
        <v>0</v>
      </c>
      <c r="M381" s="216">
        <v>4</v>
      </c>
      <c r="N381" s="213">
        <v>0</v>
      </c>
      <c r="O381" s="213"/>
      <c r="P381" s="213"/>
      <c r="Q381" s="213"/>
      <c r="R381" s="213"/>
    </row>
    <row r="382" spans="1:18" ht="24" x14ac:dyDescent="0.25">
      <c r="A382" s="212" t="s">
        <v>904</v>
      </c>
      <c r="B382" s="213">
        <v>20</v>
      </c>
      <c r="C382" s="214" t="s">
        <v>925</v>
      </c>
      <c r="D382" s="215">
        <v>469810030019</v>
      </c>
      <c r="E382" s="216">
        <v>411.88</v>
      </c>
      <c r="F382" s="216">
        <v>331.92</v>
      </c>
      <c r="G382" s="216">
        <v>2</v>
      </c>
      <c r="H382" s="216" t="s">
        <v>527</v>
      </c>
      <c r="I382" s="216" t="s">
        <v>542</v>
      </c>
      <c r="J382" s="216">
        <v>1981</v>
      </c>
      <c r="K382" s="216">
        <v>4</v>
      </c>
      <c r="L382" s="213">
        <v>0</v>
      </c>
      <c r="M382" s="216">
        <v>4</v>
      </c>
      <c r="N382" s="213">
        <v>0</v>
      </c>
      <c r="O382" s="213"/>
      <c r="P382" s="213"/>
      <c r="Q382" s="213"/>
      <c r="R382" s="213"/>
    </row>
    <row r="383" spans="1:18" ht="24" x14ac:dyDescent="0.25">
      <c r="A383" s="212" t="s">
        <v>904</v>
      </c>
      <c r="B383" s="213">
        <v>21</v>
      </c>
      <c r="C383" s="214" t="s">
        <v>926</v>
      </c>
      <c r="D383" s="215">
        <v>469690089016</v>
      </c>
      <c r="E383" s="216">
        <v>326.38</v>
      </c>
      <c r="F383" s="216">
        <v>324.23</v>
      </c>
      <c r="G383" s="216">
        <v>2</v>
      </c>
      <c r="H383" s="216" t="s">
        <v>550</v>
      </c>
      <c r="I383" s="216" t="s">
        <v>524</v>
      </c>
      <c r="J383" s="216">
        <v>1969</v>
      </c>
      <c r="K383" s="216">
        <v>4</v>
      </c>
      <c r="L383" s="213">
        <v>0</v>
      </c>
      <c r="M383" s="216">
        <v>4</v>
      </c>
      <c r="N383" s="213">
        <v>0</v>
      </c>
      <c r="O383" s="213"/>
      <c r="P383" s="213"/>
      <c r="Q383" s="213"/>
      <c r="R383" s="213"/>
    </row>
    <row r="384" spans="1:18" ht="24" x14ac:dyDescent="0.25">
      <c r="A384" s="212" t="s">
        <v>904</v>
      </c>
      <c r="B384" s="213">
        <v>22</v>
      </c>
      <c r="C384" s="214" t="s">
        <v>927</v>
      </c>
      <c r="D384" s="215">
        <v>469580049011</v>
      </c>
      <c r="E384" s="216">
        <v>94.51</v>
      </c>
      <c r="F384" s="216">
        <v>94.51</v>
      </c>
      <c r="G384" s="216">
        <v>1</v>
      </c>
      <c r="H384" s="216" t="s">
        <v>611</v>
      </c>
      <c r="I384" s="216" t="s">
        <v>524</v>
      </c>
      <c r="J384" s="216">
        <v>1958</v>
      </c>
      <c r="K384" s="216">
        <v>3</v>
      </c>
      <c r="L384" s="213">
        <v>0</v>
      </c>
      <c r="M384" s="216">
        <v>3</v>
      </c>
      <c r="N384" s="213">
        <v>0</v>
      </c>
      <c r="O384" s="213"/>
      <c r="P384" s="213"/>
      <c r="Q384" s="213"/>
      <c r="R384" s="213"/>
    </row>
    <row r="385" spans="1:18" ht="24" x14ac:dyDescent="0.25">
      <c r="A385" s="212" t="s">
        <v>904</v>
      </c>
      <c r="B385" s="213">
        <v>23</v>
      </c>
      <c r="C385" s="214" t="s">
        <v>928</v>
      </c>
      <c r="D385" s="215">
        <v>469570038013</v>
      </c>
      <c r="E385" s="216">
        <v>145.66</v>
      </c>
      <c r="F385" s="216">
        <v>145.66</v>
      </c>
      <c r="G385" s="216">
        <v>1</v>
      </c>
      <c r="H385" s="216" t="s">
        <v>611</v>
      </c>
      <c r="I385" s="216" t="s">
        <v>773</v>
      </c>
      <c r="J385" s="216">
        <v>1957</v>
      </c>
      <c r="K385" s="216">
        <v>4</v>
      </c>
      <c r="L385" s="213">
        <v>0</v>
      </c>
      <c r="M385" s="216">
        <v>4</v>
      </c>
      <c r="N385" s="213">
        <v>0</v>
      </c>
      <c r="O385" s="213"/>
      <c r="P385" s="213"/>
      <c r="Q385" s="213"/>
      <c r="R385" s="213"/>
    </row>
    <row r="386" spans="1:18" ht="24" x14ac:dyDescent="0.25">
      <c r="A386" s="212" t="s">
        <v>904</v>
      </c>
      <c r="B386" s="213">
        <v>24</v>
      </c>
      <c r="C386" s="214" t="s">
        <v>929</v>
      </c>
      <c r="D386" s="215">
        <v>469680102011</v>
      </c>
      <c r="E386" s="216">
        <v>218.74</v>
      </c>
      <c r="F386" s="216">
        <v>171.4</v>
      </c>
      <c r="G386" s="216">
        <v>2</v>
      </c>
      <c r="H386" s="216" t="s">
        <v>550</v>
      </c>
      <c r="I386" s="216" t="s">
        <v>513</v>
      </c>
      <c r="J386" s="216">
        <v>1968</v>
      </c>
      <c r="K386" s="216">
        <v>4</v>
      </c>
      <c r="L386" s="213">
        <v>0</v>
      </c>
      <c r="M386" s="216">
        <v>4</v>
      </c>
      <c r="N386" s="213">
        <v>0</v>
      </c>
      <c r="O386" s="213"/>
      <c r="P386" s="213"/>
      <c r="Q386" s="213"/>
      <c r="R386" s="213"/>
    </row>
    <row r="387" spans="1:18" ht="24" x14ac:dyDescent="0.25">
      <c r="A387" s="212" t="s">
        <v>904</v>
      </c>
      <c r="B387" s="213">
        <v>25</v>
      </c>
      <c r="C387" s="214" t="s">
        <v>930</v>
      </c>
      <c r="D387" s="215">
        <v>469680063013</v>
      </c>
      <c r="E387" s="216">
        <v>216.34</v>
      </c>
      <c r="F387" s="216">
        <v>168.87</v>
      </c>
      <c r="G387" s="216">
        <v>2</v>
      </c>
      <c r="H387" s="216" t="s">
        <v>550</v>
      </c>
      <c r="I387" s="216" t="s">
        <v>513</v>
      </c>
      <c r="J387" s="216">
        <v>1968</v>
      </c>
      <c r="K387" s="216">
        <v>4</v>
      </c>
      <c r="L387" s="213">
        <v>0</v>
      </c>
      <c r="M387" s="216">
        <v>4</v>
      </c>
      <c r="N387" s="213">
        <v>0</v>
      </c>
      <c r="O387" s="213"/>
      <c r="P387" s="213"/>
      <c r="Q387" s="213"/>
      <c r="R387" s="213"/>
    </row>
    <row r="388" spans="1:18" ht="24" x14ac:dyDescent="0.25">
      <c r="A388" s="212" t="s">
        <v>904</v>
      </c>
      <c r="B388" s="213">
        <v>26</v>
      </c>
      <c r="C388" s="214" t="s">
        <v>931</v>
      </c>
      <c r="D388" s="215">
        <v>469770061018</v>
      </c>
      <c r="E388" s="216">
        <v>1854.34</v>
      </c>
      <c r="F388" s="216">
        <v>1375.76</v>
      </c>
      <c r="G388" s="216">
        <v>3</v>
      </c>
      <c r="H388" s="216" t="s">
        <v>527</v>
      </c>
      <c r="I388" s="216" t="s">
        <v>519</v>
      </c>
      <c r="J388" s="216">
        <v>1977</v>
      </c>
      <c r="K388" s="216">
        <v>18</v>
      </c>
      <c r="L388" s="213">
        <v>0</v>
      </c>
      <c r="M388" s="216">
        <v>18</v>
      </c>
      <c r="N388" s="213">
        <v>0</v>
      </c>
      <c r="O388" s="213"/>
      <c r="P388" s="213"/>
      <c r="Q388" s="213"/>
      <c r="R388" s="213"/>
    </row>
    <row r="389" spans="1:18" ht="24" x14ac:dyDescent="0.25">
      <c r="A389" s="212" t="s">
        <v>904</v>
      </c>
      <c r="B389" s="213">
        <v>27</v>
      </c>
      <c r="C389" s="214" t="s">
        <v>932</v>
      </c>
      <c r="D389" s="215">
        <v>469780061011</v>
      </c>
      <c r="E389" s="216">
        <v>1856.32</v>
      </c>
      <c r="F389" s="216">
        <v>1376.11</v>
      </c>
      <c r="G389" s="216">
        <v>3</v>
      </c>
      <c r="H389" s="216" t="s">
        <v>550</v>
      </c>
      <c r="I389" s="216" t="s">
        <v>513</v>
      </c>
      <c r="J389" s="216">
        <v>1978</v>
      </c>
      <c r="K389" s="216">
        <v>18</v>
      </c>
      <c r="L389" s="213">
        <v>0</v>
      </c>
      <c r="M389" s="216">
        <v>18</v>
      </c>
      <c r="N389" s="213">
        <v>0</v>
      </c>
      <c r="O389" s="213"/>
      <c r="P389" s="213"/>
      <c r="Q389" s="213"/>
      <c r="R389" s="213"/>
    </row>
    <row r="390" spans="1:18" ht="24.75" thickBot="1" x14ac:dyDescent="0.3">
      <c r="A390" s="212" t="s">
        <v>904</v>
      </c>
      <c r="B390" s="224">
        <v>28</v>
      </c>
      <c r="C390" s="225" t="s">
        <v>933</v>
      </c>
      <c r="D390" s="230">
        <v>469860060016</v>
      </c>
      <c r="E390" s="231">
        <v>704.24</v>
      </c>
      <c r="F390" s="231">
        <v>527.29999999999995</v>
      </c>
      <c r="G390" s="231">
        <v>3</v>
      </c>
      <c r="H390" s="231" t="s">
        <v>523</v>
      </c>
      <c r="I390" s="231" t="s">
        <v>524</v>
      </c>
      <c r="J390" s="231">
        <v>1986</v>
      </c>
      <c r="K390" s="231">
        <v>9</v>
      </c>
      <c r="L390" s="224">
        <v>0</v>
      </c>
      <c r="M390" s="231">
        <v>9</v>
      </c>
      <c r="N390" s="224">
        <v>0</v>
      </c>
      <c r="O390" s="224"/>
      <c r="P390" s="224"/>
      <c r="Q390" s="224"/>
      <c r="R390" s="224"/>
    </row>
    <row r="391" spans="1:18" ht="24" x14ac:dyDescent="0.25">
      <c r="A391" s="233" t="s">
        <v>934</v>
      </c>
      <c r="B391" s="235">
        <v>1</v>
      </c>
      <c r="C391" s="214" t="s">
        <v>935</v>
      </c>
      <c r="D391" s="215">
        <v>469640076016</v>
      </c>
      <c r="E391" s="216">
        <v>147.53</v>
      </c>
      <c r="F391" s="216">
        <v>118.49</v>
      </c>
      <c r="G391" s="216">
        <v>2</v>
      </c>
      <c r="H391" s="216" t="s">
        <v>527</v>
      </c>
      <c r="I391" s="216" t="s">
        <v>524</v>
      </c>
      <c r="J391" s="216">
        <v>1964</v>
      </c>
      <c r="K391" s="216">
        <v>3</v>
      </c>
      <c r="L391" s="213">
        <v>0</v>
      </c>
      <c r="M391" s="216">
        <v>3</v>
      </c>
      <c r="N391" s="213">
        <v>0</v>
      </c>
      <c r="O391" s="213"/>
      <c r="P391" s="213"/>
      <c r="Q391" s="213"/>
      <c r="R391" s="213"/>
    </row>
    <row r="392" spans="1:18" ht="24" x14ac:dyDescent="0.25">
      <c r="A392" s="212" t="s">
        <v>934</v>
      </c>
      <c r="B392" s="213">
        <v>2</v>
      </c>
      <c r="C392" s="214" t="s">
        <v>936</v>
      </c>
      <c r="D392" s="215">
        <v>469020002010</v>
      </c>
      <c r="E392" s="216">
        <v>267.33999999999997</v>
      </c>
      <c r="F392" s="216">
        <v>267.33999999999997</v>
      </c>
      <c r="G392" s="216">
        <v>1</v>
      </c>
      <c r="H392" s="216" t="s">
        <v>550</v>
      </c>
      <c r="I392" s="216" t="s">
        <v>524</v>
      </c>
      <c r="J392" s="216">
        <v>1902</v>
      </c>
      <c r="K392" s="216">
        <v>4</v>
      </c>
      <c r="L392" s="213">
        <v>0</v>
      </c>
      <c r="M392" s="216">
        <v>3</v>
      </c>
      <c r="N392" s="213">
        <v>1</v>
      </c>
      <c r="O392" s="213"/>
      <c r="P392" s="213"/>
      <c r="Q392" s="213"/>
      <c r="R392" s="213"/>
    </row>
    <row r="393" spans="1:18" ht="24" x14ac:dyDescent="0.25">
      <c r="A393" s="212" t="s">
        <v>934</v>
      </c>
      <c r="B393" s="213">
        <v>3</v>
      </c>
      <c r="C393" s="214" t="s">
        <v>937</v>
      </c>
      <c r="D393" s="215">
        <v>469740049011</v>
      </c>
      <c r="E393" s="216">
        <v>364.84</v>
      </c>
      <c r="F393" s="216">
        <v>364.84</v>
      </c>
      <c r="G393" s="216">
        <v>2</v>
      </c>
      <c r="H393" s="216" t="s">
        <v>527</v>
      </c>
      <c r="I393" s="216" t="s">
        <v>513</v>
      </c>
      <c r="J393" s="216">
        <v>1974</v>
      </c>
      <c r="K393" s="216">
        <v>4</v>
      </c>
      <c r="L393" s="213">
        <v>0</v>
      </c>
      <c r="M393" s="216">
        <v>4</v>
      </c>
      <c r="N393" s="213">
        <v>0</v>
      </c>
      <c r="O393" s="213"/>
      <c r="P393" s="213"/>
      <c r="Q393" s="213"/>
      <c r="R393" s="213"/>
    </row>
    <row r="394" spans="1:18" ht="24" x14ac:dyDescent="0.25">
      <c r="A394" s="212" t="s">
        <v>934</v>
      </c>
      <c r="B394" s="213">
        <v>4</v>
      </c>
      <c r="C394" s="214" t="s">
        <v>938</v>
      </c>
      <c r="D394" s="215">
        <v>469660067015</v>
      </c>
      <c r="E394" s="216">
        <v>156.02000000000001</v>
      </c>
      <c r="F394" s="216">
        <v>152.85</v>
      </c>
      <c r="G394" s="216">
        <v>2</v>
      </c>
      <c r="H394" s="216" t="s">
        <v>527</v>
      </c>
      <c r="I394" s="216" t="s">
        <v>524</v>
      </c>
      <c r="J394" s="216">
        <v>1966</v>
      </c>
      <c r="K394" s="216">
        <v>4</v>
      </c>
      <c r="L394" s="213">
        <v>0</v>
      </c>
      <c r="M394" s="216">
        <v>4</v>
      </c>
      <c r="N394" s="213">
        <v>0</v>
      </c>
      <c r="O394" s="213"/>
      <c r="P394" s="213"/>
      <c r="Q394" s="213"/>
      <c r="R394" s="213"/>
    </row>
    <row r="395" spans="1:18" ht="24" x14ac:dyDescent="0.25">
      <c r="A395" s="212" t="s">
        <v>934</v>
      </c>
      <c r="B395" s="213">
        <v>5</v>
      </c>
      <c r="C395" s="214" t="s">
        <v>939</v>
      </c>
      <c r="D395" s="215">
        <v>440012367156</v>
      </c>
      <c r="E395" s="216">
        <v>205.48</v>
      </c>
      <c r="F395" s="216">
        <v>205.48</v>
      </c>
      <c r="G395" s="216"/>
      <c r="H395" s="216" t="s">
        <v>527</v>
      </c>
      <c r="I395" s="216" t="s">
        <v>524</v>
      </c>
      <c r="J395" s="216">
        <v>1960</v>
      </c>
      <c r="K395" s="216">
        <v>4</v>
      </c>
      <c r="L395" s="213">
        <v>0</v>
      </c>
      <c r="M395" s="216">
        <v>4</v>
      </c>
      <c r="N395" s="213">
        <v>0</v>
      </c>
      <c r="O395" s="213"/>
      <c r="P395" s="213"/>
      <c r="Q395" s="213"/>
      <c r="R395" s="213"/>
    </row>
    <row r="396" spans="1:18" ht="24" x14ac:dyDescent="0.25">
      <c r="A396" s="212" t="s">
        <v>934</v>
      </c>
      <c r="B396" s="213">
        <v>6</v>
      </c>
      <c r="C396" s="214" t="s">
        <v>940</v>
      </c>
      <c r="D396" s="215">
        <v>469850040011</v>
      </c>
      <c r="E396" s="216">
        <v>448.2</v>
      </c>
      <c r="F396" s="216">
        <v>300.86</v>
      </c>
      <c r="G396" s="216">
        <v>2</v>
      </c>
      <c r="H396" s="216" t="s">
        <v>518</v>
      </c>
      <c r="I396" s="216" t="s">
        <v>519</v>
      </c>
      <c r="J396" s="216">
        <v>1985</v>
      </c>
      <c r="K396" s="216">
        <v>6</v>
      </c>
      <c r="L396" s="213">
        <v>0</v>
      </c>
      <c r="M396" s="216">
        <v>6</v>
      </c>
      <c r="N396" s="213">
        <v>0</v>
      </c>
      <c r="O396" s="213" t="s">
        <v>514</v>
      </c>
      <c r="P396" s="213">
        <v>156916523</v>
      </c>
      <c r="Q396" s="213" t="s">
        <v>515</v>
      </c>
      <c r="R396" s="213" t="s">
        <v>516</v>
      </c>
    </row>
    <row r="397" spans="1:18" ht="24" x14ac:dyDescent="0.25">
      <c r="A397" s="212" t="s">
        <v>934</v>
      </c>
      <c r="B397" s="213">
        <v>7</v>
      </c>
      <c r="C397" s="214" t="s">
        <v>941</v>
      </c>
      <c r="D397" s="215">
        <v>469780112011</v>
      </c>
      <c r="E397" s="216">
        <v>1370.77</v>
      </c>
      <c r="F397" s="216">
        <v>1092.3599999999999</v>
      </c>
      <c r="G397" s="216">
        <v>4</v>
      </c>
      <c r="H397" s="216" t="s">
        <v>527</v>
      </c>
      <c r="I397" s="216" t="s">
        <v>519</v>
      </c>
      <c r="J397" s="216">
        <v>1978</v>
      </c>
      <c r="K397" s="216">
        <v>20</v>
      </c>
      <c r="L397" s="213">
        <v>0</v>
      </c>
      <c r="M397" s="216">
        <v>20</v>
      </c>
      <c r="N397" s="213">
        <v>0</v>
      </c>
      <c r="O397" s="213" t="s">
        <v>514</v>
      </c>
      <c r="P397" s="213">
        <v>156916523</v>
      </c>
      <c r="Q397" s="213" t="s">
        <v>515</v>
      </c>
      <c r="R397" s="213" t="s">
        <v>516</v>
      </c>
    </row>
    <row r="398" spans="1:18" ht="24" x14ac:dyDescent="0.25">
      <c r="A398" s="212" t="s">
        <v>934</v>
      </c>
      <c r="B398" s="213">
        <v>8</v>
      </c>
      <c r="C398" s="214" t="s">
        <v>942</v>
      </c>
      <c r="D398" s="215">
        <v>469850041010</v>
      </c>
      <c r="E398" s="216">
        <v>448.2</v>
      </c>
      <c r="F398" s="216">
        <v>300.86</v>
      </c>
      <c r="G398" s="216">
        <v>2</v>
      </c>
      <c r="H398" s="216" t="s">
        <v>518</v>
      </c>
      <c r="I398" s="216" t="s">
        <v>519</v>
      </c>
      <c r="J398" s="216">
        <v>1985</v>
      </c>
      <c r="K398" s="216">
        <v>1</v>
      </c>
      <c r="L398" s="213">
        <v>0</v>
      </c>
      <c r="M398" s="216">
        <v>6</v>
      </c>
      <c r="N398" s="213">
        <v>0</v>
      </c>
      <c r="O398" s="213" t="s">
        <v>514</v>
      </c>
      <c r="P398" s="213">
        <v>156916523</v>
      </c>
      <c r="Q398" s="213" t="s">
        <v>515</v>
      </c>
      <c r="R398" s="213" t="s">
        <v>516</v>
      </c>
    </row>
    <row r="399" spans="1:18" ht="24" x14ac:dyDescent="0.25">
      <c r="A399" s="212" t="s">
        <v>934</v>
      </c>
      <c r="B399" s="213">
        <v>9</v>
      </c>
      <c r="C399" s="214" t="s">
        <v>943</v>
      </c>
      <c r="D399" s="215">
        <v>469780109018</v>
      </c>
      <c r="E399" s="216">
        <v>1360.59</v>
      </c>
      <c r="F399" s="216">
        <v>1085.05</v>
      </c>
      <c r="G399" s="216">
        <v>4</v>
      </c>
      <c r="H399" s="216" t="s">
        <v>527</v>
      </c>
      <c r="I399" s="216" t="s">
        <v>519</v>
      </c>
      <c r="J399" s="216">
        <v>1978</v>
      </c>
      <c r="K399" s="216">
        <v>20</v>
      </c>
      <c r="L399" s="213">
        <v>0</v>
      </c>
      <c r="M399" s="216">
        <v>20</v>
      </c>
      <c r="N399" s="213">
        <v>0</v>
      </c>
      <c r="O399" s="213" t="s">
        <v>514</v>
      </c>
      <c r="P399" s="213">
        <v>156916523</v>
      </c>
      <c r="Q399" s="213" t="s">
        <v>515</v>
      </c>
      <c r="R399" s="213" t="s">
        <v>516</v>
      </c>
    </row>
    <row r="400" spans="1:18" ht="24" x14ac:dyDescent="0.25">
      <c r="A400" s="212" t="s">
        <v>934</v>
      </c>
      <c r="B400" s="213">
        <v>10</v>
      </c>
      <c r="C400" s="214" t="s">
        <v>944</v>
      </c>
      <c r="D400" s="215">
        <v>469880084010</v>
      </c>
      <c r="E400" s="216">
        <v>620.72</v>
      </c>
      <c r="F400" s="216">
        <v>459.72</v>
      </c>
      <c r="G400" s="216">
        <v>3</v>
      </c>
      <c r="H400" s="216" t="s">
        <v>523</v>
      </c>
      <c r="I400" s="216" t="s">
        <v>519</v>
      </c>
      <c r="J400" s="216">
        <v>1988</v>
      </c>
      <c r="K400" s="216">
        <v>0</v>
      </c>
      <c r="L400" s="213">
        <v>0</v>
      </c>
      <c r="M400" s="216">
        <v>9</v>
      </c>
      <c r="N400" s="213">
        <v>0</v>
      </c>
      <c r="O400" s="213" t="s">
        <v>514</v>
      </c>
      <c r="P400" s="213">
        <v>156916523</v>
      </c>
      <c r="Q400" s="213" t="s">
        <v>515</v>
      </c>
      <c r="R400" s="213" t="s">
        <v>516</v>
      </c>
    </row>
    <row r="401" spans="1:18" ht="24" x14ac:dyDescent="0.25">
      <c r="A401" s="212" t="s">
        <v>934</v>
      </c>
      <c r="B401" s="213">
        <v>11</v>
      </c>
      <c r="C401" s="214" t="s">
        <v>945</v>
      </c>
      <c r="D401" s="215">
        <v>469880055019</v>
      </c>
      <c r="E401" s="216">
        <v>620.67999999999995</v>
      </c>
      <c r="F401" s="216">
        <v>459.63</v>
      </c>
      <c r="G401" s="216">
        <v>3</v>
      </c>
      <c r="H401" s="216" t="s">
        <v>512</v>
      </c>
      <c r="I401" s="216" t="s">
        <v>513</v>
      </c>
      <c r="J401" s="216">
        <v>1989</v>
      </c>
      <c r="K401" s="216">
        <v>9</v>
      </c>
      <c r="L401" s="213">
        <v>0</v>
      </c>
      <c r="M401" s="216">
        <v>9</v>
      </c>
      <c r="N401" s="213">
        <v>0</v>
      </c>
      <c r="O401" s="213" t="s">
        <v>514</v>
      </c>
      <c r="P401" s="213">
        <v>156916523</v>
      </c>
      <c r="Q401" s="213" t="s">
        <v>515</v>
      </c>
      <c r="R401" s="213" t="s">
        <v>516</v>
      </c>
    </row>
    <row r="402" spans="1:18" ht="24" x14ac:dyDescent="0.25">
      <c r="A402" s="212" t="s">
        <v>934</v>
      </c>
      <c r="B402" s="213">
        <v>12</v>
      </c>
      <c r="C402" s="214" t="s">
        <v>946</v>
      </c>
      <c r="D402" s="215">
        <v>469760106017</v>
      </c>
      <c r="E402" s="216">
        <v>1910.42</v>
      </c>
      <c r="F402" s="216">
        <v>1437.92</v>
      </c>
      <c r="G402" s="216">
        <v>3</v>
      </c>
      <c r="H402" s="216" t="s">
        <v>527</v>
      </c>
      <c r="I402" s="216" t="s">
        <v>519</v>
      </c>
      <c r="J402" s="216">
        <v>1976</v>
      </c>
      <c r="K402" s="216">
        <v>0</v>
      </c>
      <c r="L402" s="213">
        <v>0</v>
      </c>
      <c r="M402" s="216">
        <v>18</v>
      </c>
      <c r="N402" s="213">
        <v>0</v>
      </c>
      <c r="O402" s="213" t="s">
        <v>514</v>
      </c>
      <c r="P402" s="213">
        <v>156916523</v>
      </c>
      <c r="Q402" s="213" t="s">
        <v>515</v>
      </c>
      <c r="R402" s="213" t="s">
        <v>516</v>
      </c>
    </row>
    <row r="403" spans="1:18" ht="24" x14ac:dyDescent="0.25">
      <c r="A403" s="212" t="s">
        <v>934</v>
      </c>
      <c r="B403" s="213">
        <v>13</v>
      </c>
      <c r="C403" s="214" t="s">
        <v>947</v>
      </c>
      <c r="D403" s="215">
        <v>469770098014</v>
      </c>
      <c r="E403" s="216">
        <v>1918.18</v>
      </c>
      <c r="F403" s="216">
        <v>1444.72</v>
      </c>
      <c r="G403" s="216">
        <v>3</v>
      </c>
      <c r="H403" s="216" t="s">
        <v>527</v>
      </c>
      <c r="I403" s="216" t="s">
        <v>519</v>
      </c>
      <c r="J403" s="216">
        <v>1977</v>
      </c>
      <c r="K403" s="216">
        <v>0</v>
      </c>
      <c r="L403" s="213">
        <v>0</v>
      </c>
      <c r="M403" s="216">
        <v>18</v>
      </c>
      <c r="N403" s="213">
        <v>0</v>
      </c>
      <c r="O403" s="213" t="s">
        <v>514</v>
      </c>
      <c r="P403" s="213">
        <v>156916523</v>
      </c>
      <c r="Q403" s="213" t="s">
        <v>515</v>
      </c>
      <c r="R403" s="213" t="s">
        <v>516</v>
      </c>
    </row>
    <row r="404" spans="1:18" ht="24" x14ac:dyDescent="0.25">
      <c r="A404" s="212" t="s">
        <v>934</v>
      </c>
      <c r="B404" s="213">
        <v>14</v>
      </c>
      <c r="C404" s="214" t="s">
        <v>948</v>
      </c>
      <c r="D404" s="215">
        <v>469780107012</v>
      </c>
      <c r="E404" s="216">
        <v>1903.92</v>
      </c>
      <c r="F404" s="216">
        <v>1431.24</v>
      </c>
      <c r="G404" s="216">
        <v>3</v>
      </c>
      <c r="H404" s="216" t="s">
        <v>611</v>
      </c>
      <c r="I404" s="216" t="s">
        <v>519</v>
      </c>
      <c r="J404" s="216">
        <v>1978</v>
      </c>
      <c r="K404" s="216">
        <v>0</v>
      </c>
      <c r="L404" s="213">
        <v>0</v>
      </c>
      <c r="M404" s="216">
        <v>18</v>
      </c>
      <c r="N404" s="213">
        <v>0</v>
      </c>
      <c r="O404" s="213" t="s">
        <v>514</v>
      </c>
      <c r="P404" s="213">
        <v>156916523</v>
      </c>
      <c r="Q404" s="213" t="s">
        <v>515</v>
      </c>
      <c r="R404" s="213" t="s">
        <v>516</v>
      </c>
    </row>
    <row r="405" spans="1:18" ht="24" x14ac:dyDescent="0.25">
      <c r="A405" s="212" t="s">
        <v>934</v>
      </c>
      <c r="B405" s="213">
        <v>15</v>
      </c>
      <c r="C405" s="214" t="s">
        <v>949</v>
      </c>
      <c r="D405" s="215">
        <v>469860117014</v>
      </c>
      <c r="E405" s="216">
        <v>1825.13</v>
      </c>
      <c r="F405" s="216">
        <v>1508.16</v>
      </c>
      <c r="G405" s="216">
        <v>5</v>
      </c>
      <c r="H405" s="216" t="s">
        <v>523</v>
      </c>
      <c r="I405" s="216" t="s">
        <v>519</v>
      </c>
      <c r="J405" s="216">
        <v>1986</v>
      </c>
      <c r="K405" s="216">
        <v>6</v>
      </c>
      <c r="L405" s="213">
        <v>0</v>
      </c>
      <c r="M405" s="216">
        <v>30</v>
      </c>
      <c r="N405" s="213">
        <v>0</v>
      </c>
      <c r="O405" s="213" t="s">
        <v>514</v>
      </c>
      <c r="P405" s="213">
        <v>156916523</v>
      </c>
      <c r="Q405" s="213" t="s">
        <v>515</v>
      </c>
      <c r="R405" s="213" t="s">
        <v>516</v>
      </c>
    </row>
    <row r="406" spans="1:18" ht="24" x14ac:dyDescent="0.25">
      <c r="A406" s="212" t="s">
        <v>934</v>
      </c>
      <c r="B406" s="213">
        <v>16</v>
      </c>
      <c r="C406" s="214" t="s">
        <v>950</v>
      </c>
      <c r="D406" s="215">
        <v>469780108018</v>
      </c>
      <c r="E406" s="216">
        <v>1363.27</v>
      </c>
      <c r="F406" s="216">
        <v>1088.0999999999999</v>
      </c>
      <c r="G406" s="216">
        <v>4</v>
      </c>
      <c r="H406" s="216" t="s">
        <v>527</v>
      </c>
      <c r="I406" s="216" t="s">
        <v>519</v>
      </c>
      <c r="J406" s="216">
        <v>1978</v>
      </c>
      <c r="K406" s="216">
        <v>20</v>
      </c>
      <c r="L406" s="213">
        <v>0</v>
      </c>
      <c r="M406" s="216">
        <v>20</v>
      </c>
      <c r="N406" s="213">
        <v>0</v>
      </c>
      <c r="O406" s="213" t="s">
        <v>514</v>
      </c>
      <c r="P406" s="213">
        <v>156916523</v>
      </c>
      <c r="Q406" s="213" t="s">
        <v>515</v>
      </c>
      <c r="R406" s="213" t="s">
        <v>516</v>
      </c>
    </row>
    <row r="407" spans="1:18" ht="24" x14ac:dyDescent="0.25">
      <c r="A407" s="212" t="s">
        <v>934</v>
      </c>
      <c r="B407" s="213">
        <v>17</v>
      </c>
      <c r="C407" s="214" t="s">
        <v>951</v>
      </c>
      <c r="D407" s="215">
        <v>469820066018</v>
      </c>
      <c r="E407" s="216">
        <v>528.04999999999995</v>
      </c>
      <c r="F407" s="216">
        <v>345.9</v>
      </c>
      <c r="G407" s="216">
        <v>2</v>
      </c>
      <c r="H407" s="216" t="s">
        <v>527</v>
      </c>
      <c r="I407" s="216" t="s">
        <v>519</v>
      </c>
      <c r="J407" s="216">
        <v>1982</v>
      </c>
      <c r="K407" s="216">
        <v>0</v>
      </c>
      <c r="L407" s="213">
        <v>0</v>
      </c>
      <c r="M407" s="216">
        <v>0</v>
      </c>
      <c r="N407" s="213">
        <v>0</v>
      </c>
      <c r="O407" s="213" t="s">
        <v>514</v>
      </c>
      <c r="P407" s="213">
        <v>156916523</v>
      </c>
      <c r="Q407" s="213" t="s">
        <v>515</v>
      </c>
      <c r="R407" s="213" t="s">
        <v>516</v>
      </c>
    </row>
    <row r="408" spans="1:18" ht="24" x14ac:dyDescent="0.25">
      <c r="A408" s="212" t="s">
        <v>934</v>
      </c>
      <c r="B408" s="213">
        <v>18</v>
      </c>
      <c r="C408" s="214" t="s">
        <v>952</v>
      </c>
      <c r="D408" s="215">
        <v>469760107014</v>
      </c>
      <c r="E408" s="216">
        <v>1911.17</v>
      </c>
      <c r="F408" s="216">
        <v>1439.48</v>
      </c>
      <c r="G408" s="216">
        <v>3</v>
      </c>
      <c r="H408" s="216" t="s">
        <v>527</v>
      </c>
      <c r="I408" s="216" t="s">
        <v>519</v>
      </c>
      <c r="J408" s="216">
        <v>1976</v>
      </c>
      <c r="K408" s="216">
        <v>18</v>
      </c>
      <c r="L408" s="213">
        <v>0</v>
      </c>
      <c r="M408" s="216">
        <v>18</v>
      </c>
      <c r="N408" s="213">
        <v>0</v>
      </c>
      <c r="O408" s="213" t="s">
        <v>514</v>
      </c>
      <c r="P408" s="213">
        <v>156916523</v>
      </c>
      <c r="Q408" s="213" t="s">
        <v>515</v>
      </c>
      <c r="R408" s="213" t="s">
        <v>516</v>
      </c>
    </row>
    <row r="409" spans="1:18" ht="24" x14ac:dyDescent="0.25">
      <c r="A409" s="212" t="s">
        <v>934</v>
      </c>
      <c r="B409" s="213">
        <v>19</v>
      </c>
      <c r="C409" s="214" t="s">
        <v>953</v>
      </c>
      <c r="D409" s="215">
        <v>469770097012</v>
      </c>
      <c r="E409" s="216">
        <v>1908.66</v>
      </c>
      <c r="F409" s="216">
        <v>1435.2</v>
      </c>
      <c r="G409" s="216">
        <v>3</v>
      </c>
      <c r="H409" s="216" t="s">
        <v>611</v>
      </c>
      <c r="I409" s="216" t="s">
        <v>519</v>
      </c>
      <c r="J409" s="216">
        <v>1977</v>
      </c>
      <c r="K409" s="216">
        <v>0</v>
      </c>
      <c r="L409" s="213">
        <v>0</v>
      </c>
      <c r="M409" s="216">
        <v>18</v>
      </c>
      <c r="N409" s="213">
        <v>0</v>
      </c>
      <c r="O409" s="213" t="s">
        <v>514</v>
      </c>
      <c r="P409" s="213">
        <v>156916523</v>
      </c>
      <c r="Q409" s="213" t="s">
        <v>515</v>
      </c>
      <c r="R409" s="213" t="s">
        <v>516</v>
      </c>
    </row>
    <row r="410" spans="1:18" ht="24" x14ac:dyDescent="0.25">
      <c r="A410" s="212" t="s">
        <v>934</v>
      </c>
      <c r="B410" s="213">
        <v>20</v>
      </c>
      <c r="C410" s="214" t="s">
        <v>954</v>
      </c>
      <c r="D410" s="215">
        <v>469800083014</v>
      </c>
      <c r="E410" s="216">
        <v>736.87</v>
      </c>
      <c r="F410" s="216">
        <v>486.28</v>
      </c>
      <c r="G410" s="216">
        <v>2</v>
      </c>
      <c r="H410" s="216" t="s">
        <v>567</v>
      </c>
      <c r="I410" s="216" t="s">
        <v>524</v>
      </c>
      <c r="J410" s="216">
        <v>1980</v>
      </c>
      <c r="K410" s="216">
        <v>8</v>
      </c>
      <c r="L410" s="213">
        <v>0</v>
      </c>
      <c r="M410" s="216">
        <v>8</v>
      </c>
      <c r="N410" s="213">
        <v>0</v>
      </c>
      <c r="O410" s="213" t="s">
        <v>514</v>
      </c>
      <c r="P410" s="213">
        <v>156916523</v>
      </c>
      <c r="Q410" s="213" t="s">
        <v>515</v>
      </c>
      <c r="R410" s="213" t="s">
        <v>516</v>
      </c>
    </row>
    <row r="411" spans="1:18" ht="24" x14ac:dyDescent="0.25">
      <c r="A411" s="212" t="s">
        <v>934</v>
      </c>
      <c r="B411" s="213">
        <v>21</v>
      </c>
      <c r="C411" s="214" t="s">
        <v>955</v>
      </c>
      <c r="D411" s="215">
        <v>469800081015</v>
      </c>
      <c r="E411" s="216">
        <v>735.97</v>
      </c>
      <c r="F411" s="216">
        <v>485.06</v>
      </c>
      <c r="G411" s="216">
        <v>2</v>
      </c>
      <c r="H411" s="216" t="s">
        <v>518</v>
      </c>
      <c r="I411" s="216" t="s">
        <v>519</v>
      </c>
      <c r="J411" s="216">
        <v>1980</v>
      </c>
      <c r="K411" s="216">
        <v>8</v>
      </c>
      <c r="L411" s="213">
        <v>0</v>
      </c>
      <c r="M411" s="216">
        <v>8</v>
      </c>
      <c r="N411" s="213">
        <v>0</v>
      </c>
      <c r="O411" s="213" t="s">
        <v>514</v>
      </c>
      <c r="P411" s="213">
        <v>156916523</v>
      </c>
      <c r="Q411" s="213" t="s">
        <v>515</v>
      </c>
      <c r="R411" s="213" t="s">
        <v>516</v>
      </c>
    </row>
    <row r="412" spans="1:18" ht="24" x14ac:dyDescent="0.25">
      <c r="A412" s="212" t="s">
        <v>934</v>
      </c>
      <c r="B412" s="213">
        <v>22</v>
      </c>
      <c r="C412" s="214" t="s">
        <v>956</v>
      </c>
      <c r="D412" s="215">
        <v>469740067016</v>
      </c>
      <c r="E412" s="216">
        <v>0</v>
      </c>
      <c r="F412" s="216">
        <v>0</v>
      </c>
      <c r="G412" s="216">
        <v>0</v>
      </c>
      <c r="H412" s="216" t="s">
        <v>957</v>
      </c>
      <c r="I412" s="216" t="s">
        <v>957</v>
      </c>
      <c r="J412" s="216">
        <v>1974</v>
      </c>
      <c r="K412" s="216">
        <v>0</v>
      </c>
      <c r="L412" s="213">
        <v>0</v>
      </c>
      <c r="M412" s="216">
        <v>12</v>
      </c>
      <c r="N412" s="213">
        <v>0</v>
      </c>
      <c r="O412" s="213"/>
      <c r="P412" s="213"/>
      <c r="Q412" s="213"/>
      <c r="R412" s="213"/>
    </row>
    <row r="413" spans="1:18" ht="24" x14ac:dyDescent="0.25">
      <c r="A413" s="212" t="s">
        <v>934</v>
      </c>
      <c r="B413" s="213">
        <v>23</v>
      </c>
      <c r="C413" s="214" t="s">
        <v>958</v>
      </c>
      <c r="D413" s="215">
        <v>469670057012</v>
      </c>
      <c r="E413" s="216">
        <v>161.59</v>
      </c>
      <c r="F413" s="216">
        <v>161.59</v>
      </c>
      <c r="G413" s="216">
        <v>2</v>
      </c>
      <c r="H413" s="216" t="s">
        <v>527</v>
      </c>
      <c r="I413" s="216" t="s">
        <v>524</v>
      </c>
      <c r="J413" s="216">
        <v>1967</v>
      </c>
      <c r="K413" s="216">
        <v>4</v>
      </c>
      <c r="L413" s="213">
        <v>0</v>
      </c>
      <c r="M413" s="216">
        <v>4</v>
      </c>
      <c r="N413" s="213">
        <v>0</v>
      </c>
      <c r="O413" s="213" t="s">
        <v>514</v>
      </c>
      <c r="P413" s="213">
        <v>156916523</v>
      </c>
      <c r="Q413" s="213" t="s">
        <v>515</v>
      </c>
      <c r="R413" s="213" t="s">
        <v>516</v>
      </c>
    </row>
    <row r="414" spans="1:18" ht="24" x14ac:dyDescent="0.25">
      <c r="A414" s="212" t="s">
        <v>934</v>
      </c>
      <c r="B414" s="213">
        <v>24</v>
      </c>
      <c r="C414" s="214" t="s">
        <v>959</v>
      </c>
      <c r="D414" s="215">
        <v>469650069016</v>
      </c>
      <c r="E414" s="216">
        <v>153.85</v>
      </c>
      <c r="F414" s="216">
        <v>153.85</v>
      </c>
      <c r="G414" s="216">
        <v>2</v>
      </c>
      <c r="H414" s="216" t="s">
        <v>527</v>
      </c>
      <c r="I414" s="216" t="s">
        <v>524</v>
      </c>
      <c r="J414" s="216">
        <v>1965</v>
      </c>
      <c r="K414" s="216">
        <v>4</v>
      </c>
      <c r="L414" s="213">
        <v>0</v>
      </c>
      <c r="M414" s="216">
        <v>4</v>
      </c>
      <c r="N414" s="213">
        <v>0</v>
      </c>
      <c r="O414" s="213" t="s">
        <v>514</v>
      </c>
      <c r="P414" s="213">
        <v>156916523</v>
      </c>
      <c r="Q414" s="213" t="s">
        <v>515</v>
      </c>
      <c r="R414" s="213" t="s">
        <v>516</v>
      </c>
    </row>
    <row r="415" spans="1:18" ht="24" x14ac:dyDescent="0.25">
      <c r="A415" s="212" t="s">
        <v>934</v>
      </c>
      <c r="B415" s="213">
        <v>25</v>
      </c>
      <c r="C415" s="214" t="s">
        <v>960</v>
      </c>
      <c r="D415" s="215">
        <v>469610088015</v>
      </c>
      <c r="E415" s="216">
        <v>149.69</v>
      </c>
      <c r="F415" s="216">
        <v>149.69</v>
      </c>
      <c r="G415" s="216">
        <v>2</v>
      </c>
      <c r="H415" s="216" t="s">
        <v>550</v>
      </c>
      <c r="I415" s="216" t="s">
        <v>524</v>
      </c>
      <c r="J415" s="216">
        <v>1961</v>
      </c>
      <c r="K415" s="216">
        <v>4</v>
      </c>
      <c r="L415" s="213">
        <v>0</v>
      </c>
      <c r="M415" s="216">
        <v>4</v>
      </c>
      <c r="N415" s="213">
        <v>0</v>
      </c>
      <c r="O415" s="213"/>
      <c r="P415" s="213"/>
      <c r="Q415" s="213"/>
      <c r="R415" s="213"/>
    </row>
    <row r="416" spans="1:18" ht="24.75" thickBot="1" x14ac:dyDescent="0.3">
      <c r="A416" s="212" t="s">
        <v>934</v>
      </c>
      <c r="B416" s="224">
        <v>26</v>
      </c>
      <c r="C416" s="225" t="s">
        <v>961</v>
      </c>
      <c r="D416" s="230">
        <v>469610089012</v>
      </c>
      <c r="E416" s="231">
        <v>155.36000000000001</v>
      </c>
      <c r="F416" s="231">
        <v>155.36000000000001</v>
      </c>
      <c r="G416" s="231">
        <v>2</v>
      </c>
      <c r="H416" s="231" t="s">
        <v>527</v>
      </c>
      <c r="I416" s="231" t="s">
        <v>524</v>
      </c>
      <c r="J416" s="231">
        <v>1961</v>
      </c>
      <c r="K416" s="231">
        <v>4</v>
      </c>
      <c r="L416" s="224">
        <v>0</v>
      </c>
      <c r="M416" s="231">
        <v>4</v>
      </c>
      <c r="N416" s="224">
        <v>0</v>
      </c>
      <c r="O416" s="224" t="s">
        <v>514</v>
      </c>
      <c r="P416" s="224">
        <v>156916523</v>
      </c>
      <c r="Q416" s="224" t="s">
        <v>515</v>
      </c>
      <c r="R416" s="224" t="s">
        <v>516</v>
      </c>
    </row>
    <row r="417" spans="1:18" ht="24" x14ac:dyDescent="0.25">
      <c r="A417" s="233" t="s">
        <v>962</v>
      </c>
      <c r="B417" s="235">
        <v>1</v>
      </c>
      <c r="C417" s="214" t="s">
        <v>963</v>
      </c>
      <c r="D417" s="215">
        <v>469660043011</v>
      </c>
      <c r="E417" s="216">
        <v>160.51</v>
      </c>
      <c r="F417" s="216">
        <v>160.51</v>
      </c>
      <c r="G417" s="216">
        <v>2</v>
      </c>
      <c r="H417" s="216" t="s">
        <v>527</v>
      </c>
      <c r="I417" s="216" t="s">
        <v>524</v>
      </c>
      <c r="J417" s="216">
        <v>1966</v>
      </c>
      <c r="K417" s="216">
        <v>3</v>
      </c>
      <c r="L417" s="213">
        <v>0</v>
      </c>
      <c r="M417" s="216">
        <v>3</v>
      </c>
      <c r="N417" s="213">
        <v>0</v>
      </c>
      <c r="O417" s="213"/>
      <c r="P417" s="213"/>
      <c r="Q417" s="213"/>
      <c r="R417" s="213"/>
    </row>
    <row r="418" spans="1:18" ht="24" x14ac:dyDescent="0.25">
      <c r="A418" s="212" t="s">
        <v>962</v>
      </c>
      <c r="B418" s="213">
        <v>2</v>
      </c>
      <c r="C418" s="214" t="s">
        <v>964</v>
      </c>
      <c r="D418" s="215">
        <v>469530023067</v>
      </c>
      <c r="E418" s="216">
        <v>172.32</v>
      </c>
      <c r="F418" s="216">
        <v>172.32</v>
      </c>
      <c r="G418" s="216">
        <v>2</v>
      </c>
      <c r="H418" s="216" t="s">
        <v>550</v>
      </c>
      <c r="I418" s="216" t="s">
        <v>513</v>
      </c>
      <c r="J418" s="216">
        <v>1956</v>
      </c>
      <c r="K418" s="216">
        <v>4</v>
      </c>
      <c r="L418" s="213">
        <v>0</v>
      </c>
      <c r="M418" s="216">
        <v>4</v>
      </c>
      <c r="N418" s="213">
        <v>0</v>
      </c>
      <c r="O418" s="213"/>
      <c r="P418" s="213"/>
      <c r="Q418" s="213"/>
      <c r="R418" s="213"/>
    </row>
    <row r="419" spans="1:18" ht="24" x14ac:dyDescent="0.25">
      <c r="A419" s="212" t="s">
        <v>962</v>
      </c>
      <c r="B419" s="213">
        <v>3</v>
      </c>
      <c r="C419" s="214" t="s">
        <v>965</v>
      </c>
      <c r="D419" s="215">
        <v>469530023012</v>
      </c>
      <c r="E419" s="216">
        <v>306.45999999999998</v>
      </c>
      <c r="F419" s="216">
        <v>292.35000000000002</v>
      </c>
      <c r="G419" s="216">
        <v>1</v>
      </c>
      <c r="H419" s="216" t="s">
        <v>918</v>
      </c>
      <c r="I419" s="216" t="s">
        <v>524</v>
      </c>
      <c r="J419" s="216">
        <v>1955</v>
      </c>
      <c r="K419" s="216">
        <v>3</v>
      </c>
      <c r="L419" s="213">
        <v>0</v>
      </c>
      <c r="M419" s="216">
        <v>3</v>
      </c>
      <c r="N419" s="213">
        <v>0</v>
      </c>
      <c r="O419" s="213"/>
      <c r="P419" s="213"/>
      <c r="Q419" s="213"/>
      <c r="R419" s="213"/>
    </row>
    <row r="420" spans="1:18" ht="24" x14ac:dyDescent="0.25">
      <c r="A420" s="212" t="s">
        <v>962</v>
      </c>
      <c r="B420" s="213">
        <v>4</v>
      </c>
      <c r="C420" s="214" t="s">
        <v>966</v>
      </c>
      <c r="D420" s="215">
        <v>469530023034</v>
      </c>
      <c r="E420" s="216">
        <v>236.47</v>
      </c>
      <c r="F420" s="216">
        <v>226.19</v>
      </c>
      <c r="G420" s="216">
        <v>1</v>
      </c>
      <c r="H420" s="216" t="s">
        <v>906</v>
      </c>
      <c r="I420" s="216" t="s">
        <v>524</v>
      </c>
      <c r="J420" s="216">
        <v>1955</v>
      </c>
      <c r="K420" s="216">
        <v>6</v>
      </c>
      <c r="L420" s="213">
        <v>0</v>
      </c>
      <c r="M420" s="216">
        <v>6</v>
      </c>
      <c r="N420" s="213">
        <v>0</v>
      </c>
      <c r="O420" s="213"/>
      <c r="P420" s="213"/>
      <c r="Q420" s="213"/>
      <c r="R420" s="213"/>
    </row>
    <row r="421" spans="1:18" ht="24" x14ac:dyDescent="0.25">
      <c r="A421" s="212" t="s">
        <v>962</v>
      </c>
      <c r="B421" s="213">
        <v>5</v>
      </c>
      <c r="C421" s="214" t="s">
        <v>967</v>
      </c>
      <c r="D421" s="215">
        <v>469530023045</v>
      </c>
      <c r="E421" s="216">
        <v>228.54</v>
      </c>
      <c r="F421" s="216">
        <v>212.6</v>
      </c>
      <c r="G421" s="216">
        <v>1</v>
      </c>
      <c r="H421" s="216" t="s">
        <v>968</v>
      </c>
      <c r="I421" s="216" t="s">
        <v>524</v>
      </c>
      <c r="J421" s="216">
        <v>1953</v>
      </c>
      <c r="K421" s="216">
        <v>4</v>
      </c>
      <c r="L421" s="213">
        <v>0</v>
      </c>
      <c r="M421" s="216">
        <v>5</v>
      </c>
      <c r="N421" s="213">
        <v>0</v>
      </c>
      <c r="O421" s="213"/>
      <c r="P421" s="213"/>
      <c r="Q421" s="213"/>
      <c r="R421" s="213"/>
    </row>
    <row r="422" spans="1:18" ht="24" x14ac:dyDescent="0.25">
      <c r="A422" s="212" t="s">
        <v>962</v>
      </c>
      <c r="B422" s="213">
        <v>6</v>
      </c>
      <c r="C422" s="214" t="s">
        <v>969</v>
      </c>
      <c r="D422" s="215">
        <v>469760064016</v>
      </c>
      <c r="E422" s="216">
        <v>158.94999999999999</v>
      </c>
      <c r="F422" s="216">
        <v>158.94999999999999</v>
      </c>
      <c r="G422" s="216">
        <v>1</v>
      </c>
      <c r="H422" s="216" t="s">
        <v>527</v>
      </c>
      <c r="I422" s="216" t="s">
        <v>524</v>
      </c>
      <c r="J422" s="216">
        <v>1976</v>
      </c>
      <c r="K422" s="216">
        <v>0</v>
      </c>
      <c r="L422" s="213">
        <v>0</v>
      </c>
      <c r="M422" s="216">
        <v>3</v>
      </c>
      <c r="N422" s="213">
        <v>0</v>
      </c>
      <c r="O422" s="213"/>
      <c r="P422" s="213"/>
      <c r="Q422" s="213"/>
      <c r="R422" s="213"/>
    </row>
    <row r="423" spans="1:18" ht="24" x14ac:dyDescent="0.25">
      <c r="A423" s="212" t="s">
        <v>962</v>
      </c>
      <c r="B423" s="213">
        <v>7</v>
      </c>
      <c r="C423" s="214" t="s">
        <v>970</v>
      </c>
      <c r="D423" s="215">
        <v>469050009027</v>
      </c>
      <c r="E423" s="216">
        <v>200</v>
      </c>
      <c r="F423" s="216">
        <v>200</v>
      </c>
      <c r="G423" s="216">
        <v>1</v>
      </c>
      <c r="H423" s="216" t="s">
        <v>871</v>
      </c>
      <c r="I423" s="216" t="s">
        <v>773</v>
      </c>
      <c r="J423" s="216">
        <v>1906</v>
      </c>
      <c r="K423" s="216">
        <v>4</v>
      </c>
      <c r="L423" s="213">
        <v>0</v>
      </c>
      <c r="M423" s="216">
        <v>4</v>
      </c>
      <c r="N423" s="213">
        <v>0</v>
      </c>
      <c r="O423" s="213"/>
      <c r="P423" s="213"/>
      <c r="Q423" s="213"/>
      <c r="R423" s="213"/>
    </row>
    <row r="424" spans="1:18" ht="24" x14ac:dyDescent="0.25">
      <c r="A424" s="212" t="s">
        <v>962</v>
      </c>
      <c r="B424" s="213">
        <v>8</v>
      </c>
      <c r="C424" s="214" t="s">
        <v>971</v>
      </c>
      <c r="D424" s="215">
        <v>469050009016</v>
      </c>
      <c r="E424" s="216">
        <v>200</v>
      </c>
      <c r="F424" s="216">
        <v>200</v>
      </c>
      <c r="G424" s="216">
        <v>1</v>
      </c>
      <c r="H424" s="216" t="s">
        <v>871</v>
      </c>
      <c r="I424" s="216" t="s">
        <v>773</v>
      </c>
      <c r="J424" s="216">
        <v>1905</v>
      </c>
      <c r="K424" s="216">
        <v>4</v>
      </c>
      <c r="L424" s="213">
        <v>0</v>
      </c>
      <c r="M424" s="216">
        <v>4</v>
      </c>
      <c r="N424" s="213">
        <v>0</v>
      </c>
      <c r="O424" s="213"/>
      <c r="P424" s="213"/>
      <c r="Q424" s="213"/>
      <c r="R424" s="213"/>
    </row>
    <row r="425" spans="1:18" ht="24" x14ac:dyDescent="0.25">
      <c r="A425" s="212" t="s">
        <v>962</v>
      </c>
      <c r="B425" s="213">
        <v>9</v>
      </c>
      <c r="C425" s="214" t="s">
        <v>972</v>
      </c>
      <c r="D425" s="215">
        <v>469740056016</v>
      </c>
      <c r="E425" s="216">
        <v>752.67</v>
      </c>
      <c r="F425" s="216">
        <v>491.78</v>
      </c>
      <c r="G425" s="216">
        <v>2</v>
      </c>
      <c r="H425" s="216" t="s">
        <v>518</v>
      </c>
      <c r="I425" s="216" t="s">
        <v>524</v>
      </c>
      <c r="J425" s="216">
        <v>1975</v>
      </c>
      <c r="K425" s="216">
        <v>8</v>
      </c>
      <c r="L425" s="213">
        <v>0</v>
      </c>
      <c r="M425" s="216">
        <v>8</v>
      </c>
      <c r="N425" s="213">
        <v>0</v>
      </c>
      <c r="O425" s="213"/>
      <c r="P425" s="213"/>
      <c r="Q425" s="213"/>
      <c r="R425" s="213"/>
    </row>
    <row r="426" spans="1:18" ht="24" x14ac:dyDescent="0.25">
      <c r="A426" s="212" t="s">
        <v>962</v>
      </c>
      <c r="B426" s="213">
        <v>10</v>
      </c>
      <c r="C426" s="214" t="s">
        <v>973</v>
      </c>
      <c r="D426" s="215">
        <v>469740056027</v>
      </c>
      <c r="E426" s="216">
        <v>753.92</v>
      </c>
      <c r="F426" s="216">
        <v>490.98</v>
      </c>
      <c r="G426" s="216">
        <v>2</v>
      </c>
      <c r="H426" s="216" t="s">
        <v>518</v>
      </c>
      <c r="I426" s="216" t="s">
        <v>524</v>
      </c>
      <c r="J426" s="216">
        <v>1974</v>
      </c>
      <c r="K426" s="216">
        <v>8</v>
      </c>
      <c r="L426" s="213">
        <v>0</v>
      </c>
      <c r="M426" s="216">
        <v>8</v>
      </c>
      <c r="N426" s="213">
        <v>0</v>
      </c>
      <c r="O426" s="213"/>
      <c r="P426" s="213"/>
      <c r="Q426" s="213"/>
      <c r="R426" s="213"/>
    </row>
    <row r="427" spans="1:18" ht="24" x14ac:dyDescent="0.25">
      <c r="A427" s="212" t="s">
        <v>962</v>
      </c>
      <c r="B427" s="213">
        <v>11</v>
      </c>
      <c r="C427" s="214" t="s">
        <v>974</v>
      </c>
      <c r="D427" s="215">
        <v>469640046016</v>
      </c>
      <c r="E427" s="216">
        <v>515.98</v>
      </c>
      <c r="F427" s="216">
        <v>394.91</v>
      </c>
      <c r="G427" s="216">
        <v>2</v>
      </c>
      <c r="H427" s="216" t="s">
        <v>550</v>
      </c>
      <c r="I427" s="216" t="s">
        <v>513</v>
      </c>
      <c r="J427" s="216">
        <v>1964</v>
      </c>
      <c r="K427" s="216">
        <v>8</v>
      </c>
      <c r="L427" s="213">
        <v>0</v>
      </c>
      <c r="M427" s="216">
        <v>8</v>
      </c>
      <c r="N427" s="213">
        <v>0</v>
      </c>
      <c r="O427" s="213"/>
      <c r="P427" s="213"/>
      <c r="Q427" s="213"/>
      <c r="R427" s="213"/>
    </row>
    <row r="428" spans="1:18" ht="24" x14ac:dyDescent="0.25">
      <c r="A428" s="212" t="s">
        <v>962</v>
      </c>
      <c r="B428" s="213">
        <v>12</v>
      </c>
      <c r="C428" s="214" t="s">
        <v>975</v>
      </c>
      <c r="D428" s="215">
        <v>469660060012</v>
      </c>
      <c r="E428" s="216">
        <v>516.04</v>
      </c>
      <c r="F428" s="216">
        <v>392.09</v>
      </c>
      <c r="G428" s="216">
        <v>2</v>
      </c>
      <c r="H428" s="216" t="s">
        <v>527</v>
      </c>
      <c r="I428" s="216" t="s">
        <v>524</v>
      </c>
      <c r="J428" s="216">
        <v>1966</v>
      </c>
      <c r="K428" s="216">
        <v>8</v>
      </c>
      <c r="L428" s="213">
        <v>0</v>
      </c>
      <c r="M428" s="216">
        <v>8</v>
      </c>
      <c r="N428" s="213">
        <v>0</v>
      </c>
      <c r="O428" s="213"/>
      <c r="P428" s="213"/>
      <c r="Q428" s="213"/>
      <c r="R428" s="213"/>
    </row>
    <row r="429" spans="1:18" ht="24" x14ac:dyDescent="0.25">
      <c r="A429" s="212" t="s">
        <v>962</v>
      </c>
      <c r="B429" s="213">
        <v>13</v>
      </c>
      <c r="C429" s="214" t="s">
        <v>976</v>
      </c>
      <c r="D429" s="215">
        <v>469650055041</v>
      </c>
      <c r="E429" s="216">
        <v>153.72</v>
      </c>
      <c r="F429" s="216">
        <v>153.72</v>
      </c>
      <c r="G429" s="216">
        <v>1</v>
      </c>
      <c r="H429" s="216" t="s">
        <v>550</v>
      </c>
      <c r="I429" s="216" t="s">
        <v>524</v>
      </c>
      <c r="J429" s="216">
        <v>1965</v>
      </c>
      <c r="K429" s="216">
        <v>3</v>
      </c>
      <c r="L429" s="213">
        <v>0</v>
      </c>
      <c r="M429" s="216">
        <v>3</v>
      </c>
      <c r="N429" s="213">
        <v>0</v>
      </c>
      <c r="O429" s="213"/>
      <c r="P429" s="213"/>
      <c r="Q429" s="213"/>
      <c r="R429" s="213"/>
    </row>
    <row r="430" spans="1:18" ht="24" x14ac:dyDescent="0.25">
      <c r="A430" s="212" t="s">
        <v>962</v>
      </c>
      <c r="B430" s="213">
        <v>14</v>
      </c>
      <c r="C430" s="214" t="s">
        <v>977</v>
      </c>
      <c r="D430" s="215">
        <v>469710106016</v>
      </c>
      <c r="E430" s="216">
        <v>416.98</v>
      </c>
      <c r="F430" s="216">
        <v>396.98</v>
      </c>
      <c r="G430" s="216">
        <v>2</v>
      </c>
      <c r="H430" s="216" t="s">
        <v>550</v>
      </c>
      <c r="I430" s="216" t="s">
        <v>513</v>
      </c>
      <c r="J430" s="216">
        <v>1971</v>
      </c>
      <c r="K430" s="216">
        <v>8</v>
      </c>
      <c r="L430" s="213">
        <v>0</v>
      </c>
      <c r="M430" s="216">
        <v>8</v>
      </c>
      <c r="N430" s="213">
        <v>0</v>
      </c>
      <c r="O430" s="213"/>
      <c r="P430" s="213"/>
      <c r="Q430" s="213"/>
      <c r="R430" s="213"/>
    </row>
    <row r="431" spans="1:18" ht="24.75" thickBot="1" x14ac:dyDescent="0.3">
      <c r="A431" s="212" t="s">
        <v>962</v>
      </c>
      <c r="B431" s="224">
        <v>15</v>
      </c>
      <c r="C431" s="225" t="s">
        <v>978</v>
      </c>
      <c r="D431" s="230">
        <v>469180007017</v>
      </c>
      <c r="E431" s="231">
        <v>238.3</v>
      </c>
      <c r="F431" s="231">
        <v>223.9</v>
      </c>
      <c r="G431" s="231">
        <v>1</v>
      </c>
      <c r="H431" s="231" t="s">
        <v>527</v>
      </c>
      <c r="I431" s="231" t="s">
        <v>601</v>
      </c>
      <c r="J431" s="231">
        <v>1918</v>
      </c>
      <c r="K431" s="231">
        <v>0</v>
      </c>
      <c r="L431" s="224">
        <v>0</v>
      </c>
      <c r="M431" s="231">
        <v>7</v>
      </c>
      <c r="N431" s="224">
        <v>0</v>
      </c>
      <c r="O431" s="224"/>
      <c r="P431" s="224"/>
      <c r="Q431" s="224"/>
      <c r="R431" s="224"/>
    </row>
    <row r="432" spans="1:18" ht="24" x14ac:dyDescent="0.25">
      <c r="A432" s="233" t="s">
        <v>979</v>
      </c>
      <c r="B432" s="235">
        <v>1</v>
      </c>
      <c r="C432" s="214" t="s">
        <v>980</v>
      </c>
      <c r="D432" s="215">
        <v>469630056019</v>
      </c>
      <c r="E432" s="216">
        <v>248.98</v>
      </c>
      <c r="F432" s="216">
        <v>226.26</v>
      </c>
      <c r="G432" s="216">
        <v>1</v>
      </c>
      <c r="H432" s="216" t="s">
        <v>611</v>
      </c>
      <c r="I432" s="216" t="s">
        <v>524</v>
      </c>
      <c r="J432" s="216">
        <v>1963</v>
      </c>
      <c r="K432" s="216">
        <v>6</v>
      </c>
      <c r="L432" s="213">
        <v>0</v>
      </c>
      <c r="M432" s="216">
        <v>6</v>
      </c>
      <c r="N432" s="213">
        <v>0</v>
      </c>
      <c r="O432" s="213"/>
      <c r="P432" s="213"/>
      <c r="Q432" s="213"/>
      <c r="R432" s="213"/>
    </row>
    <row r="433" spans="1:18" ht="24" x14ac:dyDescent="0.25">
      <c r="A433" s="212" t="s">
        <v>979</v>
      </c>
      <c r="B433" s="213">
        <v>2</v>
      </c>
      <c r="C433" s="214" t="s">
        <v>981</v>
      </c>
      <c r="D433" s="215">
        <v>469810021018</v>
      </c>
      <c r="E433" s="216">
        <v>392</v>
      </c>
      <c r="F433" s="216">
        <v>312.33999999999997</v>
      </c>
      <c r="G433" s="216">
        <v>2</v>
      </c>
      <c r="H433" s="216" t="s">
        <v>527</v>
      </c>
      <c r="I433" s="216" t="s">
        <v>513</v>
      </c>
      <c r="J433" s="216">
        <v>1981</v>
      </c>
      <c r="K433" s="216">
        <v>4</v>
      </c>
      <c r="L433" s="213">
        <v>0</v>
      </c>
      <c r="M433" s="216">
        <v>4</v>
      </c>
      <c r="N433" s="213">
        <v>0</v>
      </c>
      <c r="O433" s="213"/>
      <c r="P433" s="213"/>
      <c r="Q433" s="213"/>
      <c r="R433" s="213"/>
    </row>
    <row r="434" spans="1:18" ht="24" x14ac:dyDescent="0.25">
      <c r="A434" s="212" t="s">
        <v>979</v>
      </c>
      <c r="B434" s="213">
        <v>3</v>
      </c>
      <c r="C434" s="214" t="s">
        <v>982</v>
      </c>
      <c r="D434" s="215">
        <v>469760042018</v>
      </c>
      <c r="E434" s="216">
        <v>376.38</v>
      </c>
      <c r="F434" s="216">
        <v>291.63</v>
      </c>
      <c r="G434" s="216">
        <v>2</v>
      </c>
      <c r="H434" s="216" t="s">
        <v>550</v>
      </c>
      <c r="I434" s="216" t="s">
        <v>513</v>
      </c>
      <c r="J434" s="216">
        <v>1976</v>
      </c>
      <c r="K434" s="216">
        <v>4</v>
      </c>
      <c r="L434" s="213">
        <v>0</v>
      </c>
      <c r="M434" s="216">
        <v>4</v>
      </c>
      <c r="N434" s="213">
        <v>0</v>
      </c>
      <c r="O434" s="213"/>
      <c r="P434" s="213"/>
      <c r="Q434" s="213"/>
      <c r="R434" s="213"/>
    </row>
    <row r="435" spans="1:18" ht="24" x14ac:dyDescent="0.25">
      <c r="A435" s="212" t="s">
        <v>979</v>
      </c>
      <c r="B435" s="213">
        <v>4</v>
      </c>
      <c r="C435" s="214" t="s">
        <v>983</v>
      </c>
      <c r="D435" s="215">
        <v>469720112017</v>
      </c>
      <c r="E435" s="216">
        <v>554.22</v>
      </c>
      <c r="F435" s="216">
        <v>436.58</v>
      </c>
      <c r="G435" s="216">
        <v>2</v>
      </c>
      <c r="H435" s="216" t="s">
        <v>527</v>
      </c>
      <c r="I435" s="216" t="s">
        <v>519</v>
      </c>
      <c r="J435" s="216">
        <v>1972</v>
      </c>
      <c r="K435" s="216">
        <v>8</v>
      </c>
      <c r="L435" s="213">
        <v>0</v>
      </c>
      <c r="M435" s="216">
        <v>8</v>
      </c>
      <c r="N435" s="213">
        <v>0</v>
      </c>
      <c r="O435" s="213"/>
      <c r="P435" s="213"/>
      <c r="Q435" s="213"/>
      <c r="R435" s="213"/>
    </row>
    <row r="436" spans="1:18" ht="24" x14ac:dyDescent="0.25">
      <c r="A436" s="212" t="s">
        <v>979</v>
      </c>
      <c r="B436" s="213">
        <v>5</v>
      </c>
      <c r="C436" s="214" t="s">
        <v>984</v>
      </c>
      <c r="D436" s="215">
        <v>469730032019</v>
      </c>
      <c r="E436" s="216">
        <v>499.02</v>
      </c>
      <c r="F436" s="216">
        <v>410.33</v>
      </c>
      <c r="G436" s="216">
        <v>2</v>
      </c>
      <c r="H436" s="216" t="s">
        <v>527</v>
      </c>
      <c r="I436" s="216" t="s">
        <v>519</v>
      </c>
      <c r="J436" s="216">
        <v>1973</v>
      </c>
      <c r="K436" s="216">
        <v>8</v>
      </c>
      <c r="L436" s="213">
        <v>0</v>
      </c>
      <c r="M436" s="216">
        <v>8</v>
      </c>
      <c r="N436" s="213">
        <v>0</v>
      </c>
      <c r="O436" s="213"/>
      <c r="P436" s="213"/>
      <c r="Q436" s="213"/>
      <c r="R436" s="213"/>
    </row>
    <row r="437" spans="1:18" ht="24" x14ac:dyDescent="0.25">
      <c r="A437" s="212" t="s">
        <v>979</v>
      </c>
      <c r="B437" s="213">
        <v>6</v>
      </c>
      <c r="C437" s="214" t="s">
        <v>985</v>
      </c>
      <c r="D437" s="215">
        <v>469870030013</v>
      </c>
      <c r="E437" s="216">
        <v>793.92</v>
      </c>
      <c r="F437" s="216">
        <v>608.16</v>
      </c>
      <c r="G437" s="216">
        <v>2</v>
      </c>
      <c r="H437" s="216" t="s">
        <v>527</v>
      </c>
      <c r="I437" s="216" t="s">
        <v>519</v>
      </c>
      <c r="J437" s="216">
        <v>1987</v>
      </c>
      <c r="K437" s="216">
        <v>12</v>
      </c>
      <c r="L437" s="213">
        <v>0</v>
      </c>
      <c r="M437" s="216">
        <v>12</v>
      </c>
      <c r="N437" s="213">
        <v>0</v>
      </c>
      <c r="O437" s="213"/>
      <c r="P437" s="213"/>
      <c r="Q437" s="213"/>
      <c r="R437" s="213"/>
    </row>
    <row r="438" spans="1:18" ht="24" x14ac:dyDescent="0.25">
      <c r="A438" s="212" t="s">
        <v>979</v>
      </c>
      <c r="B438" s="213">
        <v>7</v>
      </c>
      <c r="C438" s="214" t="s">
        <v>986</v>
      </c>
      <c r="D438" s="215">
        <v>469680039019</v>
      </c>
      <c r="E438" s="216">
        <v>525.79999999999995</v>
      </c>
      <c r="F438" s="216">
        <v>389.18</v>
      </c>
      <c r="G438" s="216">
        <v>2</v>
      </c>
      <c r="H438" s="216" t="s">
        <v>550</v>
      </c>
      <c r="I438" s="216" t="s">
        <v>513</v>
      </c>
      <c r="J438" s="216">
        <v>1968</v>
      </c>
      <c r="K438" s="216">
        <v>8</v>
      </c>
      <c r="L438" s="213">
        <v>0</v>
      </c>
      <c r="M438" s="216">
        <v>8</v>
      </c>
      <c r="N438" s="213">
        <v>0</v>
      </c>
      <c r="O438" s="213"/>
      <c r="P438" s="213"/>
      <c r="Q438" s="213"/>
      <c r="R438" s="213"/>
    </row>
    <row r="439" spans="1:18" ht="24" x14ac:dyDescent="0.25">
      <c r="A439" s="212" t="s">
        <v>979</v>
      </c>
      <c r="B439" s="213">
        <v>8</v>
      </c>
      <c r="C439" s="214" t="s">
        <v>987</v>
      </c>
      <c r="D439" s="215">
        <v>469650067010</v>
      </c>
      <c r="E439" s="216">
        <v>369.02</v>
      </c>
      <c r="F439" s="216">
        <v>367.07</v>
      </c>
      <c r="G439" s="216">
        <v>2</v>
      </c>
      <c r="H439" s="216" t="s">
        <v>527</v>
      </c>
      <c r="I439" s="216" t="s">
        <v>519</v>
      </c>
      <c r="J439" s="216">
        <v>1965</v>
      </c>
      <c r="K439" s="216">
        <v>0</v>
      </c>
      <c r="L439" s="213">
        <v>0</v>
      </c>
      <c r="M439" s="216">
        <v>8</v>
      </c>
      <c r="N439" s="213">
        <v>0</v>
      </c>
      <c r="O439" s="213"/>
      <c r="P439" s="213"/>
      <c r="Q439" s="213"/>
      <c r="R439" s="213"/>
    </row>
    <row r="440" spans="1:18" ht="24" x14ac:dyDescent="0.25">
      <c r="A440" s="212" t="s">
        <v>979</v>
      </c>
      <c r="B440" s="213">
        <v>9</v>
      </c>
      <c r="C440" s="214" t="s">
        <v>988</v>
      </c>
      <c r="D440" s="215">
        <v>469620061013</v>
      </c>
      <c r="E440" s="216">
        <v>322.99</v>
      </c>
      <c r="F440" s="216">
        <v>270.58</v>
      </c>
      <c r="G440" s="216">
        <v>2</v>
      </c>
      <c r="H440" s="216" t="s">
        <v>527</v>
      </c>
      <c r="I440" s="216" t="s">
        <v>524</v>
      </c>
      <c r="J440" s="216">
        <v>1962</v>
      </c>
      <c r="K440" s="216">
        <v>8</v>
      </c>
      <c r="L440" s="213">
        <v>0</v>
      </c>
      <c r="M440" s="216">
        <v>8</v>
      </c>
      <c r="N440" s="213">
        <v>0</v>
      </c>
      <c r="O440" s="213"/>
      <c r="P440" s="213"/>
      <c r="Q440" s="213"/>
      <c r="R440" s="213"/>
    </row>
    <row r="441" spans="1:18" ht="24" x14ac:dyDescent="0.25">
      <c r="A441" s="212" t="s">
        <v>979</v>
      </c>
      <c r="B441" s="213">
        <v>10</v>
      </c>
      <c r="C441" s="214" t="s">
        <v>989</v>
      </c>
      <c r="D441" s="215">
        <v>469910019016</v>
      </c>
      <c r="E441" s="216">
        <v>690.53</v>
      </c>
      <c r="F441" s="216">
        <v>515.29999999999995</v>
      </c>
      <c r="G441" s="216">
        <v>3</v>
      </c>
      <c r="H441" s="216" t="s">
        <v>523</v>
      </c>
      <c r="I441" s="216" t="s">
        <v>519</v>
      </c>
      <c r="J441" s="216">
        <v>1991</v>
      </c>
      <c r="K441" s="216">
        <v>9</v>
      </c>
      <c r="L441" s="213">
        <v>0</v>
      </c>
      <c r="M441" s="216">
        <v>9</v>
      </c>
      <c r="N441" s="213">
        <v>0</v>
      </c>
      <c r="O441" s="213"/>
      <c r="P441" s="213"/>
      <c r="Q441" s="213"/>
      <c r="R441" s="213"/>
    </row>
    <row r="442" spans="1:18" ht="24" x14ac:dyDescent="0.25">
      <c r="A442" s="212" t="s">
        <v>979</v>
      </c>
      <c r="B442" s="213">
        <v>11</v>
      </c>
      <c r="C442" s="214" t="s">
        <v>990</v>
      </c>
      <c r="D442" s="215">
        <v>469910020015</v>
      </c>
      <c r="E442" s="216">
        <v>704.08</v>
      </c>
      <c r="F442" s="216">
        <v>524.22</v>
      </c>
      <c r="G442" s="216">
        <v>3</v>
      </c>
      <c r="H442" s="216" t="s">
        <v>518</v>
      </c>
      <c r="I442" s="216" t="s">
        <v>519</v>
      </c>
      <c r="J442" s="216">
        <v>1991</v>
      </c>
      <c r="K442" s="216">
        <v>1</v>
      </c>
      <c r="L442" s="213">
        <v>0</v>
      </c>
      <c r="M442" s="216">
        <v>9</v>
      </c>
      <c r="N442" s="213">
        <v>0</v>
      </c>
      <c r="O442" s="213"/>
      <c r="P442" s="213"/>
      <c r="Q442" s="213"/>
      <c r="R442" s="213"/>
    </row>
    <row r="443" spans="1:18" ht="24" x14ac:dyDescent="0.25">
      <c r="A443" s="212" t="s">
        <v>979</v>
      </c>
      <c r="B443" s="213">
        <v>12</v>
      </c>
      <c r="C443" s="214" t="s">
        <v>991</v>
      </c>
      <c r="D443" s="215">
        <v>469610086012</v>
      </c>
      <c r="E443" s="216">
        <v>164</v>
      </c>
      <c r="F443" s="216">
        <v>164</v>
      </c>
      <c r="G443" s="216">
        <v>2</v>
      </c>
      <c r="H443" s="216" t="s">
        <v>527</v>
      </c>
      <c r="I443" s="216" t="s">
        <v>601</v>
      </c>
      <c r="J443" s="216">
        <v>1961</v>
      </c>
      <c r="K443" s="216">
        <v>4</v>
      </c>
      <c r="L443" s="213">
        <v>0</v>
      </c>
      <c r="M443" s="216">
        <v>4</v>
      </c>
      <c r="N443" s="213">
        <v>0</v>
      </c>
      <c r="O443" s="213" t="s">
        <v>514</v>
      </c>
      <c r="P443" s="213">
        <v>156916523</v>
      </c>
      <c r="Q443" s="213" t="s">
        <v>515</v>
      </c>
      <c r="R443" s="213" t="s">
        <v>516</v>
      </c>
    </row>
    <row r="444" spans="1:18" ht="24" x14ac:dyDescent="0.25">
      <c r="A444" s="212" t="s">
        <v>979</v>
      </c>
      <c r="B444" s="213">
        <v>13</v>
      </c>
      <c r="C444" s="214" t="s">
        <v>992</v>
      </c>
      <c r="D444" s="215">
        <v>469590044019</v>
      </c>
      <c r="E444" s="216">
        <v>211.57</v>
      </c>
      <c r="F444" s="216">
        <v>192.01</v>
      </c>
      <c r="G444" s="216">
        <v>2</v>
      </c>
      <c r="H444" s="216" t="s">
        <v>527</v>
      </c>
      <c r="I444" s="216" t="s">
        <v>524</v>
      </c>
      <c r="J444" s="216">
        <v>1959</v>
      </c>
      <c r="K444" s="216">
        <v>4</v>
      </c>
      <c r="L444" s="213">
        <v>0</v>
      </c>
      <c r="M444" s="216">
        <v>4</v>
      </c>
      <c r="N444" s="213">
        <v>0</v>
      </c>
      <c r="O444" s="213"/>
      <c r="P444" s="213"/>
      <c r="Q444" s="213"/>
      <c r="R444" s="213"/>
    </row>
    <row r="445" spans="1:18" ht="24" x14ac:dyDescent="0.25">
      <c r="A445" s="212" t="s">
        <v>979</v>
      </c>
      <c r="B445" s="213">
        <v>14</v>
      </c>
      <c r="C445" s="214" t="s">
        <v>993</v>
      </c>
      <c r="D445" s="215">
        <v>469800060014</v>
      </c>
      <c r="E445" s="216">
        <v>992.18</v>
      </c>
      <c r="F445" s="216">
        <v>734.82</v>
      </c>
      <c r="G445" s="216">
        <v>3</v>
      </c>
      <c r="H445" s="216" t="s">
        <v>518</v>
      </c>
      <c r="I445" s="216" t="s">
        <v>519</v>
      </c>
      <c r="J445" s="216">
        <v>1980</v>
      </c>
      <c r="K445" s="216">
        <v>3</v>
      </c>
      <c r="L445" s="213">
        <v>0</v>
      </c>
      <c r="M445" s="216">
        <v>12</v>
      </c>
      <c r="N445" s="213">
        <v>0</v>
      </c>
      <c r="O445" s="213"/>
      <c r="P445" s="213"/>
      <c r="Q445" s="213"/>
      <c r="R445" s="213"/>
    </row>
    <row r="446" spans="1:18" ht="24" x14ac:dyDescent="0.25">
      <c r="A446" s="212" t="s">
        <v>979</v>
      </c>
      <c r="B446" s="213">
        <v>15</v>
      </c>
      <c r="C446" s="214" t="s">
        <v>994</v>
      </c>
      <c r="D446" s="215">
        <v>469770066015</v>
      </c>
      <c r="E446" s="216">
        <v>971.76</v>
      </c>
      <c r="F446" s="216">
        <v>714.62</v>
      </c>
      <c r="G446" s="216">
        <v>3</v>
      </c>
      <c r="H446" s="216" t="s">
        <v>518</v>
      </c>
      <c r="I446" s="216" t="s">
        <v>519</v>
      </c>
      <c r="J446" s="216">
        <v>1977</v>
      </c>
      <c r="K446" s="216">
        <v>12</v>
      </c>
      <c r="L446" s="213">
        <v>0</v>
      </c>
      <c r="M446" s="216">
        <v>12</v>
      </c>
      <c r="N446" s="213">
        <v>0</v>
      </c>
      <c r="O446" s="213"/>
      <c r="P446" s="213"/>
      <c r="Q446" s="213"/>
      <c r="R446" s="213"/>
    </row>
    <row r="447" spans="1:18" ht="24" x14ac:dyDescent="0.25">
      <c r="A447" s="212" t="s">
        <v>979</v>
      </c>
      <c r="B447" s="213">
        <v>16</v>
      </c>
      <c r="C447" s="214" t="s">
        <v>995</v>
      </c>
      <c r="D447" s="215">
        <v>469770116018</v>
      </c>
      <c r="E447" s="216">
        <v>415.62</v>
      </c>
      <c r="F447" s="216">
        <v>355.04</v>
      </c>
      <c r="G447" s="216">
        <v>2</v>
      </c>
      <c r="H447" s="216" t="s">
        <v>550</v>
      </c>
      <c r="I447" s="216" t="s">
        <v>513</v>
      </c>
      <c r="J447" s="216">
        <v>1977</v>
      </c>
      <c r="K447" s="216">
        <v>4</v>
      </c>
      <c r="L447" s="213">
        <v>0</v>
      </c>
      <c r="M447" s="216">
        <v>4</v>
      </c>
      <c r="N447" s="213">
        <v>0</v>
      </c>
      <c r="O447" s="213"/>
      <c r="P447" s="213"/>
      <c r="Q447" s="213"/>
      <c r="R447" s="213"/>
    </row>
    <row r="448" spans="1:18" ht="24" x14ac:dyDescent="0.25">
      <c r="A448" s="212" t="s">
        <v>979</v>
      </c>
      <c r="B448" s="213">
        <v>17</v>
      </c>
      <c r="C448" s="214" t="s">
        <v>996</v>
      </c>
      <c r="D448" s="215">
        <v>469400042012</v>
      </c>
      <c r="E448" s="216">
        <v>199</v>
      </c>
      <c r="F448" s="216">
        <v>199</v>
      </c>
      <c r="G448" s="216">
        <v>1</v>
      </c>
      <c r="H448" s="216" t="s">
        <v>611</v>
      </c>
      <c r="I448" s="216" t="s">
        <v>524</v>
      </c>
      <c r="J448" s="216">
        <v>1940</v>
      </c>
      <c r="K448" s="216">
        <v>3</v>
      </c>
      <c r="L448" s="213">
        <v>0</v>
      </c>
      <c r="M448" s="216">
        <v>3</v>
      </c>
      <c r="N448" s="213">
        <v>0</v>
      </c>
      <c r="O448" s="213"/>
      <c r="P448" s="213"/>
      <c r="Q448" s="213"/>
      <c r="R448" s="213"/>
    </row>
    <row r="449" spans="1:18" ht="24" x14ac:dyDescent="0.25">
      <c r="A449" s="212" t="s">
        <v>979</v>
      </c>
      <c r="B449" s="213">
        <v>18</v>
      </c>
      <c r="C449" s="214" t="s">
        <v>997</v>
      </c>
      <c r="D449" s="215">
        <v>469370022015</v>
      </c>
      <c r="E449" s="216">
        <v>164.79</v>
      </c>
      <c r="F449" s="216">
        <v>156.66999999999999</v>
      </c>
      <c r="G449" s="216">
        <v>1</v>
      </c>
      <c r="H449" s="216" t="s">
        <v>611</v>
      </c>
      <c r="I449" s="216" t="s">
        <v>524</v>
      </c>
      <c r="J449" s="216">
        <v>1937</v>
      </c>
      <c r="K449" s="216">
        <v>3</v>
      </c>
      <c r="L449" s="213">
        <v>0</v>
      </c>
      <c r="M449" s="216">
        <v>3</v>
      </c>
      <c r="N449" s="213">
        <v>0</v>
      </c>
      <c r="O449" s="213"/>
      <c r="P449" s="213"/>
      <c r="Q449" s="213"/>
      <c r="R449" s="213"/>
    </row>
    <row r="450" spans="1:18" ht="24" x14ac:dyDescent="0.25">
      <c r="A450" s="212" t="s">
        <v>979</v>
      </c>
      <c r="B450" s="213">
        <v>19</v>
      </c>
      <c r="C450" s="214" t="s">
        <v>998</v>
      </c>
      <c r="D450" s="215">
        <v>469720038014</v>
      </c>
      <c r="E450" s="216">
        <v>393.67</v>
      </c>
      <c r="F450" s="216">
        <v>340.3</v>
      </c>
      <c r="G450" s="216">
        <v>2</v>
      </c>
      <c r="H450" s="216" t="s">
        <v>527</v>
      </c>
      <c r="I450" s="216" t="s">
        <v>524</v>
      </c>
      <c r="J450" s="216">
        <v>1972</v>
      </c>
      <c r="K450" s="216">
        <v>4</v>
      </c>
      <c r="L450" s="213">
        <v>0</v>
      </c>
      <c r="M450" s="216">
        <v>4</v>
      </c>
      <c r="N450" s="213">
        <v>0</v>
      </c>
      <c r="O450" s="213"/>
      <c r="P450" s="213"/>
      <c r="Q450" s="213"/>
      <c r="R450" s="213"/>
    </row>
    <row r="451" spans="1:18" ht="24" x14ac:dyDescent="0.25">
      <c r="A451" s="212" t="s">
        <v>979</v>
      </c>
      <c r="B451" s="213">
        <v>20</v>
      </c>
      <c r="C451" s="214" t="s">
        <v>999</v>
      </c>
      <c r="D451" s="215">
        <v>469290004011</v>
      </c>
      <c r="E451" s="216">
        <v>207.69</v>
      </c>
      <c r="F451" s="216">
        <v>198.94</v>
      </c>
      <c r="G451" s="216">
        <v>1</v>
      </c>
      <c r="H451" s="216" t="s">
        <v>611</v>
      </c>
      <c r="I451" s="216" t="s">
        <v>769</v>
      </c>
      <c r="J451" s="216">
        <v>1929</v>
      </c>
      <c r="K451" s="216">
        <v>1</v>
      </c>
      <c r="L451" s="213">
        <v>0</v>
      </c>
      <c r="M451" s="216">
        <v>1</v>
      </c>
      <c r="N451" s="213">
        <v>0</v>
      </c>
      <c r="O451" s="213"/>
      <c r="P451" s="213"/>
      <c r="Q451" s="213"/>
      <c r="R451" s="213"/>
    </row>
    <row r="452" spans="1:18" ht="24" x14ac:dyDescent="0.25">
      <c r="A452" s="212" t="s">
        <v>979</v>
      </c>
      <c r="B452" s="213">
        <v>21</v>
      </c>
      <c r="C452" s="214" t="s">
        <v>1000</v>
      </c>
      <c r="D452" s="215">
        <v>469610073010</v>
      </c>
      <c r="E452" s="216">
        <v>149.30000000000001</v>
      </c>
      <c r="F452" s="216">
        <v>149.30000000000001</v>
      </c>
      <c r="G452" s="216">
        <v>2</v>
      </c>
      <c r="H452" s="216" t="s">
        <v>550</v>
      </c>
      <c r="I452" s="216" t="s">
        <v>524</v>
      </c>
      <c r="J452" s="216">
        <v>1961</v>
      </c>
      <c r="K452" s="216">
        <v>4</v>
      </c>
      <c r="L452" s="213">
        <v>0</v>
      </c>
      <c r="M452" s="216">
        <v>4</v>
      </c>
      <c r="N452" s="213">
        <v>0</v>
      </c>
      <c r="O452" s="213"/>
      <c r="P452" s="213"/>
      <c r="Q452" s="213"/>
      <c r="R452" s="213"/>
    </row>
    <row r="453" spans="1:18" ht="24" x14ac:dyDescent="0.25">
      <c r="A453" s="212" t="s">
        <v>979</v>
      </c>
      <c r="B453" s="213">
        <v>22</v>
      </c>
      <c r="C453" s="214" t="s">
        <v>1001</v>
      </c>
      <c r="D453" s="215">
        <v>469300029019</v>
      </c>
      <c r="E453" s="216">
        <v>373.15</v>
      </c>
      <c r="F453" s="216">
        <v>328.68</v>
      </c>
      <c r="G453" s="216">
        <v>1</v>
      </c>
      <c r="H453" s="216" t="s">
        <v>611</v>
      </c>
      <c r="I453" s="216" t="s">
        <v>524</v>
      </c>
      <c r="J453" s="216">
        <v>1930</v>
      </c>
      <c r="K453" s="216">
        <v>8</v>
      </c>
      <c r="L453" s="213">
        <v>0</v>
      </c>
      <c r="M453" s="216">
        <v>8</v>
      </c>
      <c r="N453" s="213">
        <v>0</v>
      </c>
      <c r="O453" s="213"/>
      <c r="P453" s="213"/>
      <c r="Q453" s="213"/>
      <c r="R453" s="213"/>
    </row>
    <row r="454" spans="1:18" ht="24" x14ac:dyDescent="0.25">
      <c r="A454" s="212" t="s">
        <v>979</v>
      </c>
      <c r="B454" s="213">
        <v>23</v>
      </c>
      <c r="C454" s="214" t="s">
        <v>1002</v>
      </c>
      <c r="D454" s="215">
        <v>469660062018</v>
      </c>
      <c r="E454" s="216">
        <v>165.42</v>
      </c>
      <c r="F454" s="216">
        <v>163.46</v>
      </c>
      <c r="G454" s="216">
        <v>2</v>
      </c>
      <c r="H454" s="216" t="s">
        <v>871</v>
      </c>
      <c r="I454" s="216" t="s">
        <v>524</v>
      </c>
      <c r="J454" s="216">
        <v>1966</v>
      </c>
      <c r="K454" s="216">
        <v>4</v>
      </c>
      <c r="L454" s="213">
        <v>0</v>
      </c>
      <c r="M454" s="216">
        <v>4</v>
      </c>
      <c r="N454" s="213">
        <v>0</v>
      </c>
      <c r="O454" s="213"/>
      <c r="P454" s="213"/>
      <c r="Q454" s="213"/>
      <c r="R454" s="213"/>
    </row>
    <row r="455" spans="1:18" ht="24" x14ac:dyDescent="0.25">
      <c r="A455" s="212" t="s">
        <v>979</v>
      </c>
      <c r="B455" s="213">
        <v>24</v>
      </c>
      <c r="C455" s="214" t="s">
        <v>1003</v>
      </c>
      <c r="D455" s="215">
        <v>469620076018</v>
      </c>
      <c r="E455" s="216">
        <v>354.83</v>
      </c>
      <c r="F455" s="216">
        <v>314.16000000000003</v>
      </c>
      <c r="G455" s="216">
        <v>2</v>
      </c>
      <c r="H455" s="216" t="s">
        <v>611</v>
      </c>
      <c r="I455" s="216" t="s">
        <v>524</v>
      </c>
      <c r="J455" s="216">
        <v>1962</v>
      </c>
      <c r="K455" s="216">
        <v>8</v>
      </c>
      <c r="L455" s="213">
        <v>0</v>
      </c>
      <c r="M455" s="216">
        <v>8</v>
      </c>
      <c r="N455" s="213">
        <v>0</v>
      </c>
      <c r="O455" s="213"/>
      <c r="P455" s="213"/>
      <c r="Q455" s="213"/>
      <c r="R455" s="213"/>
    </row>
    <row r="456" spans="1:18" ht="24" x14ac:dyDescent="0.25">
      <c r="A456" s="212" t="s">
        <v>979</v>
      </c>
      <c r="B456" s="213">
        <v>25</v>
      </c>
      <c r="C456" s="214" t="s">
        <v>1004</v>
      </c>
      <c r="D456" s="215">
        <v>469710113012</v>
      </c>
      <c r="E456" s="216">
        <v>168.39</v>
      </c>
      <c r="F456" s="216">
        <v>165.97</v>
      </c>
      <c r="G456" s="216">
        <v>2</v>
      </c>
      <c r="H456" s="216" t="s">
        <v>527</v>
      </c>
      <c r="I456" s="216" t="s">
        <v>524</v>
      </c>
      <c r="J456" s="216">
        <v>1971</v>
      </c>
      <c r="K456" s="216">
        <v>4</v>
      </c>
      <c r="L456" s="213">
        <v>0</v>
      </c>
      <c r="M456" s="216">
        <v>4</v>
      </c>
      <c r="N456" s="213">
        <v>0</v>
      </c>
      <c r="O456" s="213"/>
      <c r="P456" s="213"/>
      <c r="Q456" s="213"/>
      <c r="R456" s="213"/>
    </row>
    <row r="457" spans="1:18" ht="24" x14ac:dyDescent="0.25">
      <c r="A457" s="212" t="s">
        <v>979</v>
      </c>
      <c r="B457" s="213">
        <v>26</v>
      </c>
      <c r="C457" s="214" t="s">
        <v>1005</v>
      </c>
      <c r="D457" s="215">
        <v>469580057013</v>
      </c>
      <c r="E457" s="216">
        <v>222.26</v>
      </c>
      <c r="F457" s="216">
        <v>175.32</v>
      </c>
      <c r="G457" s="216">
        <v>2</v>
      </c>
      <c r="H457" s="216" t="s">
        <v>527</v>
      </c>
      <c r="I457" s="216" t="s">
        <v>524</v>
      </c>
      <c r="J457" s="216">
        <v>1958</v>
      </c>
      <c r="K457" s="216">
        <v>4</v>
      </c>
      <c r="L457" s="213">
        <v>0</v>
      </c>
      <c r="M457" s="216">
        <v>4</v>
      </c>
      <c r="N457" s="213">
        <v>0</v>
      </c>
      <c r="O457" s="213"/>
      <c r="P457" s="213"/>
      <c r="Q457" s="213"/>
      <c r="R457" s="213"/>
    </row>
    <row r="458" spans="1:18" ht="24" x14ac:dyDescent="0.25">
      <c r="A458" s="212" t="s">
        <v>979</v>
      </c>
      <c r="B458" s="213">
        <v>27</v>
      </c>
      <c r="C458" s="214" t="s">
        <v>1006</v>
      </c>
      <c r="D458" s="215">
        <v>469700147016</v>
      </c>
      <c r="E458" s="216">
        <v>742.36</v>
      </c>
      <c r="F458" s="216">
        <v>488.35</v>
      </c>
      <c r="G458" s="216">
        <v>2</v>
      </c>
      <c r="H458" s="216" t="s">
        <v>717</v>
      </c>
      <c r="I458" s="216" t="s">
        <v>519</v>
      </c>
      <c r="J458" s="216">
        <v>1980</v>
      </c>
      <c r="K458" s="216">
        <v>8</v>
      </c>
      <c r="L458" s="213">
        <v>0</v>
      </c>
      <c r="M458" s="216">
        <v>8</v>
      </c>
      <c r="N458" s="213">
        <v>0</v>
      </c>
      <c r="O458" s="213"/>
      <c r="P458" s="213"/>
      <c r="Q458" s="213"/>
      <c r="R458" s="213"/>
    </row>
    <row r="459" spans="1:18" ht="24" x14ac:dyDescent="0.25">
      <c r="A459" s="212" t="s">
        <v>979</v>
      </c>
      <c r="B459" s="213">
        <v>28</v>
      </c>
      <c r="C459" s="214" t="s">
        <v>1007</v>
      </c>
      <c r="D459" s="215">
        <v>469700076012</v>
      </c>
      <c r="E459" s="216">
        <v>398.7</v>
      </c>
      <c r="F459" s="216">
        <v>321.31</v>
      </c>
      <c r="G459" s="216">
        <v>2</v>
      </c>
      <c r="H459" s="216" t="s">
        <v>527</v>
      </c>
      <c r="I459" s="216" t="s">
        <v>524</v>
      </c>
      <c r="J459" s="216">
        <v>1970</v>
      </c>
      <c r="K459" s="216">
        <v>8</v>
      </c>
      <c r="L459" s="213">
        <v>0</v>
      </c>
      <c r="M459" s="216">
        <v>8</v>
      </c>
      <c r="N459" s="213">
        <v>0</v>
      </c>
      <c r="O459" s="213"/>
      <c r="P459" s="213"/>
      <c r="Q459" s="213"/>
      <c r="R459" s="213"/>
    </row>
    <row r="460" spans="1:18" ht="24" x14ac:dyDescent="0.25">
      <c r="A460" s="212" t="s">
        <v>979</v>
      </c>
      <c r="B460" s="213">
        <v>29</v>
      </c>
      <c r="C460" s="214" t="s">
        <v>1008</v>
      </c>
      <c r="D460" s="215">
        <v>469710112012</v>
      </c>
      <c r="E460" s="216">
        <v>174.37</v>
      </c>
      <c r="F460" s="216">
        <v>174.37</v>
      </c>
      <c r="G460" s="216">
        <v>2</v>
      </c>
      <c r="H460" s="216" t="s">
        <v>550</v>
      </c>
      <c r="I460" s="216" t="s">
        <v>524</v>
      </c>
      <c r="J460" s="216">
        <v>1971</v>
      </c>
      <c r="K460" s="216">
        <v>4</v>
      </c>
      <c r="L460" s="213">
        <v>0</v>
      </c>
      <c r="M460" s="216">
        <v>4</v>
      </c>
      <c r="N460" s="213">
        <v>0</v>
      </c>
      <c r="O460" s="213"/>
      <c r="P460" s="213"/>
      <c r="Q460" s="213"/>
      <c r="R460" s="213"/>
    </row>
    <row r="461" spans="1:18" ht="24" x14ac:dyDescent="0.25">
      <c r="A461" s="212" t="s">
        <v>979</v>
      </c>
      <c r="B461" s="213">
        <v>30</v>
      </c>
      <c r="C461" s="214" t="s">
        <v>1009</v>
      </c>
      <c r="D461" s="215">
        <v>469020001013</v>
      </c>
      <c r="E461" s="216">
        <v>318.73</v>
      </c>
      <c r="F461" s="216">
        <v>129.44999999999999</v>
      </c>
      <c r="G461" s="216">
        <v>1</v>
      </c>
      <c r="H461" s="216" t="s">
        <v>527</v>
      </c>
      <c r="I461" s="216" t="s">
        <v>524</v>
      </c>
      <c r="J461" s="216">
        <v>1902</v>
      </c>
      <c r="K461" s="216">
        <v>2</v>
      </c>
      <c r="L461" s="213">
        <v>1</v>
      </c>
      <c r="M461" s="216">
        <v>2</v>
      </c>
      <c r="N461" s="213">
        <v>1</v>
      </c>
      <c r="O461" s="213"/>
      <c r="P461" s="213"/>
      <c r="Q461" s="213"/>
      <c r="R461" s="213"/>
    </row>
    <row r="462" spans="1:18" ht="24" x14ac:dyDescent="0.25">
      <c r="A462" s="212" t="s">
        <v>979</v>
      </c>
      <c r="B462" s="213">
        <v>31</v>
      </c>
      <c r="C462" s="214" t="s">
        <v>1010</v>
      </c>
      <c r="D462" s="215">
        <v>469680088014</v>
      </c>
      <c r="E462" s="216">
        <v>341</v>
      </c>
      <c r="F462" s="216">
        <v>315.11</v>
      </c>
      <c r="G462" s="216">
        <v>2</v>
      </c>
      <c r="H462" s="216" t="s">
        <v>527</v>
      </c>
      <c r="I462" s="216" t="s">
        <v>524</v>
      </c>
      <c r="J462" s="216">
        <v>1968</v>
      </c>
      <c r="K462" s="216">
        <v>4</v>
      </c>
      <c r="L462" s="213">
        <v>0</v>
      </c>
      <c r="M462" s="216">
        <v>4</v>
      </c>
      <c r="N462" s="213">
        <v>0</v>
      </c>
      <c r="O462" s="213"/>
      <c r="P462" s="213"/>
      <c r="Q462" s="213"/>
      <c r="R462" s="213"/>
    </row>
    <row r="463" spans="1:18" ht="24.75" thickBot="1" x14ac:dyDescent="0.3">
      <c r="A463" s="212" t="s">
        <v>979</v>
      </c>
      <c r="B463" s="224">
        <v>32</v>
      </c>
      <c r="C463" s="225" t="s">
        <v>1011</v>
      </c>
      <c r="D463" s="230">
        <v>469750130018</v>
      </c>
      <c r="E463" s="231">
        <v>374.58</v>
      </c>
      <c r="F463" s="231">
        <v>323.75</v>
      </c>
      <c r="G463" s="231">
        <v>2</v>
      </c>
      <c r="H463" s="231" t="s">
        <v>527</v>
      </c>
      <c r="I463" s="231" t="s">
        <v>513</v>
      </c>
      <c r="J463" s="231">
        <v>1975</v>
      </c>
      <c r="K463" s="231">
        <v>4</v>
      </c>
      <c r="L463" s="224">
        <v>0</v>
      </c>
      <c r="M463" s="231">
        <v>4</v>
      </c>
      <c r="N463" s="224">
        <v>0</v>
      </c>
      <c r="O463" s="224"/>
      <c r="P463" s="224"/>
      <c r="Q463" s="224"/>
      <c r="R463" s="224"/>
    </row>
    <row r="464" spans="1:18" ht="24" x14ac:dyDescent="0.25">
      <c r="A464" s="233" t="s">
        <v>510</v>
      </c>
      <c r="B464" s="218">
        <v>1</v>
      </c>
      <c r="C464" s="214" t="s">
        <v>1012</v>
      </c>
      <c r="D464" s="217">
        <v>469750006017</v>
      </c>
      <c r="E464" s="214">
        <v>2519.73</v>
      </c>
      <c r="F464" s="214">
        <v>1738.06</v>
      </c>
      <c r="G464" s="214">
        <v>5</v>
      </c>
      <c r="H464" s="214" t="s">
        <v>527</v>
      </c>
      <c r="I464" s="214" t="s">
        <v>519</v>
      </c>
      <c r="J464" s="214">
        <v>1975</v>
      </c>
      <c r="K464" s="214">
        <v>0</v>
      </c>
      <c r="L464" s="218">
        <v>0</v>
      </c>
      <c r="M464" s="214">
        <v>0</v>
      </c>
      <c r="N464" s="218">
        <v>0</v>
      </c>
    </row>
    <row r="465" spans="1:18" ht="24" x14ac:dyDescent="0.25">
      <c r="A465" s="212" t="s">
        <v>510</v>
      </c>
      <c r="B465" s="218">
        <v>2</v>
      </c>
      <c r="C465" s="214" t="s">
        <v>1013</v>
      </c>
      <c r="D465" s="217">
        <v>469100006016</v>
      </c>
      <c r="E465" s="214">
        <v>262.92</v>
      </c>
      <c r="F465" s="214">
        <v>0</v>
      </c>
      <c r="G465" s="214">
        <v>2</v>
      </c>
      <c r="H465" s="214" t="s">
        <v>527</v>
      </c>
      <c r="I465" s="214" t="s">
        <v>524</v>
      </c>
      <c r="J465" s="214">
        <v>1910</v>
      </c>
      <c r="K465" s="214">
        <v>0</v>
      </c>
      <c r="L465" s="218">
        <v>0</v>
      </c>
      <c r="M465" s="214">
        <v>0</v>
      </c>
      <c r="N465" s="218">
        <v>0</v>
      </c>
    </row>
    <row r="466" spans="1:18" ht="24" x14ac:dyDescent="0.25">
      <c r="A466" s="212" t="s">
        <v>510</v>
      </c>
      <c r="B466" s="218">
        <v>3</v>
      </c>
      <c r="C466" s="214" t="s">
        <v>1014</v>
      </c>
      <c r="D466" s="217">
        <v>469350004019</v>
      </c>
      <c r="E466" s="214">
        <v>150.97</v>
      </c>
      <c r="F466" s="214">
        <v>142.07</v>
      </c>
      <c r="G466" s="214">
        <v>1</v>
      </c>
      <c r="H466" s="214" t="s">
        <v>611</v>
      </c>
      <c r="I466" s="214" t="s">
        <v>524</v>
      </c>
      <c r="J466" s="214">
        <v>1935</v>
      </c>
      <c r="K466" s="214">
        <v>0</v>
      </c>
      <c r="L466" s="218">
        <v>0</v>
      </c>
      <c r="M466" s="214">
        <v>0</v>
      </c>
      <c r="N466" s="218">
        <v>0</v>
      </c>
    </row>
    <row r="467" spans="1:18" ht="24" x14ac:dyDescent="0.25">
      <c r="A467" s="212" t="s">
        <v>833</v>
      </c>
      <c r="B467" s="218">
        <v>4</v>
      </c>
      <c r="C467" s="214" t="s">
        <v>1015</v>
      </c>
      <c r="D467" s="217">
        <v>469700050014</v>
      </c>
      <c r="E467" s="214">
        <v>458.6</v>
      </c>
      <c r="F467" s="214">
        <v>456.75</v>
      </c>
      <c r="G467" s="214">
        <v>3</v>
      </c>
      <c r="H467" s="214" t="s">
        <v>518</v>
      </c>
      <c r="I467" s="214" t="s">
        <v>519</v>
      </c>
      <c r="J467" s="214">
        <v>1991</v>
      </c>
      <c r="K467" s="214">
        <v>0</v>
      </c>
      <c r="L467" s="218">
        <v>0</v>
      </c>
      <c r="M467" s="214">
        <v>0</v>
      </c>
      <c r="N467" s="218">
        <v>0</v>
      </c>
    </row>
    <row r="468" spans="1:18" ht="24" x14ac:dyDescent="0.25">
      <c r="A468" s="212" t="s">
        <v>874</v>
      </c>
      <c r="B468" s="218">
        <v>5</v>
      </c>
      <c r="C468" s="214" t="s">
        <v>1016</v>
      </c>
      <c r="D468" s="217">
        <v>469280009015</v>
      </c>
      <c r="E468" s="214">
        <v>103.61</v>
      </c>
      <c r="F468" s="214">
        <v>103.61</v>
      </c>
      <c r="G468" s="214">
        <v>1</v>
      </c>
      <c r="H468" s="214" t="s">
        <v>918</v>
      </c>
      <c r="I468" s="214" t="s">
        <v>524</v>
      </c>
      <c r="J468" s="214">
        <v>1928</v>
      </c>
      <c r="K468" s="214">
        <v>0</v>
      </c>
      <c r="L468" s="218">
        <v>0</v>
      </c>
      <c r="M468" s="214">
        <v>0</v>
      </c>
      <c r="N468" s="218">
        <v>0</v>
      </c>
    </row>
    <row r="469" spans="1:18" ht="24" x14ac:dyDescent="0.25">
      <c r="A469" s="212" t="s">
        <v>874</v>
      </c>
      <c r="B469" s="218">
        <v>6</v>
      </c>
      <c r="C469" s="214" t="s">
        <v>1017</v>
      </c>
      <c r="D469" s="215">
        <v>440015545876</v>
      </c>
      <c r="E469" s="216">
        <v>955.82</v>
      </c>
      <c r="F469" s="216">
        <v>773.76</v>
      </c>
      <c r="G469" s="216">
        <v>1</v>
      </c>
      <c r="H469" s="216" t="s">
        <v>717</v>
      </c>
      <c r="I469" s="216" t="s">
        <v>957</v>
      </c>
      <c r="J469" s="216">
        <v>2008</v>
      </c>
      <c r="K469" s="216">
        <v>0</v>
      </c>
      <c r="L469" s="213">
        <v>0</v>
      </c>
      <c r="M469" s="216">
        <v>0</v>
      </c>
      <c r="N469" s="213">
        <v>0</v>
      </c>
    </row>
    <row r="470" spans="1:18" ht="24" x14ac:dyDescent="0.25">
      <c r="A470" s="212" t="s">
        <v>874</v>
      </c>
      <c r="B470" s="218">
        <v>7</v>
      </c>
      <c r="C470" s="214" t="s">
        <v>1018</v>
      </c>
      <c r="D470" s="215">
        <v>469610080026</v>
      </c>
      <c r="E470" s="216">
        <v>74.61</v>
      </c>
      <c r="F470" s="216">
        <v>65.27</v>
      </c>
      <c r="G470" s="216">
        <v>1</v>
      </c>
      <c r="H470" s="216" t="s">
        <v>918</v>
      </c>
      <c r="I470" s="216" t="s">
        <v>524</v>
      </c>
      <c r="J470" s="216">
        <v>1961</v>
      </c>
      <c r="K470" s="216">
        <v>0</v>
      </c>
      <c r="L470" s="213">
        <v>0</v>
      </c>
      <c r="M470" s="216">
        <v>0</v>
      </c>
      <c r="N470" s="213">
        <v>0</v>
      </c>
    </row>
    <row r="471" spans="1:18" ht="24" x14ac:dyDescent="0.25">
      <c r="A471" s="212" t="s">
        <v>904</v>
      </c>
      <c r="B471" s="218">
        <v>8</v>
      </c>
      <c r="C471" s="214" t="s">
        <v>1019</v>
      </c>
      <c r="D471" s="215">
        <v>468700001070</v>
      </c>
      <c r="E471" s="216">
        <v>0</v>
      </c>
      <c r="F471" s="216">
        <v>0</v>
      </c>
      <c r="G471" s="216">
        <v>1</v>
      </c>
      <c r="H471" s="216" t="s">
        <v>957</v>
      </c>
      <c r="I471" s="216" t="s">
        <v>1020</v>
      </c>
      <c r="J471" s="216">
        <v>1870</v>
      </c>
      <c r="K471" s="216">
        <v>0</v>
      </c>
      <c r="L471" s="213">
        <v>0</v>
      </c>
      <c r="M471" s="216">
        <v>0</v>
      </c>
      <c r="N471" s="213">
        <v>0</v>
      </c>
    </row>
    <row r="472" spans="1:18" ht="24" x14ac:dyDescent="0.25">
      <c r="A472" s="212" t="s">
        <v>904</v>
      </c>
      <c r="B472" s="218">
        <v>9</v>
      </c>
      <c r="C472" s="214" t="s">
        <v>1021</v>
      </c>
      <c r="D472" s="215">
        <v>469180008014</v>
      </c>
      <c r="E472" s="216">
        <v>125.04</v>
      </c>
      <c r="F472" s="216">
        <v>115.42</v>
      </c>
      <c r="G472" s="216">
        <v>1</v>
      </c>
      <c r="H472" s="216" t="s">
        <v>611</v>
      </c>
      <c r="I472" s="216" t="s">
        <v>617</v>
      </c>
      <c r="J472" s="216">
        <v>1918</v>
      </c>
      <c r="K472" s="216">
        <v>0</v>
      </c>
      <c r="L472" s="213">
        <v>0</v>
      </c>
      <c r="M472" s="216">
        <v>0</v>
      </c>
      <c r="N472" s="213">
        <v>0</v>
      </c>
    </row>
    <row r="473" spans="1:18" ht="24.75" thickBot="1" x14ac:dyDescent="0.3">
      <c r="A473" s="223" t="s">
        <v>979</v>
      </c>
      <c r="B473" s="227">
        <v>10</v>
      </c>
      <c r="C473" s="225" t="s">
        <v>1022</v>
      </c>
      <c r="D473" s="230">
        <v>469100020014</v>
      </c>
      <c r="E473" s="231">
        <v>0</v>
      </c>
      <c r="F473" s="231">
        <v>0</v>
      </c>
      <c r="G473" s="231">
        <v>1</v>
      </c>
      <c r="H473" s="231" t="s">
        <v>611</v>
      </c>
      <c r="I473" s="231" t="s">
        <v>957</v>
      </c>
      <c r="J473" s="231">
        <v>1910</v>
      </c>
      <c r="K473" s="231">
        <v>0</v>
      </c>
      <c r="L473" s="224">
        <v>0</v>
      </c>
      <c r="M473" s="231">
        <v>0</v>
      </c>
      <c r="N473" s="224">
        <v>0</v>
      </c>
      <c r="O473" s="125"/>
      <c r="P473" s="125"/>
      <c r="Q473" s="125"/>
      <c r="R473" s="125"/>
    </row>
    <row r="474" spans="1:18" x14ac:dyDescent="0.25">
      <c r="K474" s="1">
        <f>K107+K108+K109+K110+K111+K112+K113+K114+K115+K116+K117+K118+K119+K120+K121+K122+K123+K124+K125+K126+K127+K128+K129+K130+K131+K132+K133+K134+K135+K136++K137+K138+K139+K140+K141+K142+K143+K144+K145+K146+K147+K148+K149+K150+K151+K228+K229+K230+K231+K232+K256+K261+K262+K263+K285+K286+K292+K293+K294+K295</f>
        <v>3431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0"/>
  <sheetViews>
    <sheetView topLeftCell="A91" zoomScale="90" zoomScaleNormal="90" zoomScaleSheetLayoutView="80" workbookViewId="0">
      <selection activeCell="O14" sqref="O14"/>
    </sheetView>
  </sheetViews>
  <sheetFormatPr defaultRowHeight="15" x14ac:dyDescent="0.25"/>
  <cols>
    <col min="1" max="1" width="4.140625" customWidth="1"/>
    <col min="2" max="2" width="24.7109375" customWidth="1"/>
    <col min="3" max="3" width="8.140625" customWidth="1"/>
    <col min="4" max="4" width="9.140625" customWidth="1"/>
    <col min="5" max="5" width="9.5703125" style="2" customWidth="1"/>
    <col min="6" max="6" width="12" customWidth="1"/>
    <col min="7" max="7" width="10.5703125" customWidth="1"/>
    <col min="8" max="8" width="7.28515625" customWidth="1"/>
    <col min="9" max="9" width="23" customWidth="1"/>
    <col min="10" max="10" width="12.28515625" style="2" customWidth="1"/>
    <col min="11" max="11" width="12" customWidth="1"/>
    <col min="12" max="12" width="11.42578125" style="2" customWidth="1"/>
    <col min="13" max="13" width="11" style="2" customWidth="1"/>
    <col min="14" max="14" width="11.85546875" style="2" customWidth="1"/>
    <col min="15" max="15" width="9" customWidth="1"/>
    <col min="16" max="16" width="11" customWidth="1"/>
    <col min="17" max="17" width="9.42578125" bestFit="1" customWidth="1"/>
    <col min="18" max="18" width="9.140625" style="2"/>
    <col min="19" max="19" width="11.85546875" customWidth="1"/>
  </cols>
  <sheetData>
    <row r="1" spans="1:19" ht="16.5" thickBot="1" x14ac:dyDescent="0.3">
      <c r="A1" s="488" t="s">
        <v>231</v>
      </c>
      <c r="B1" s="488"/>
    </row>
    <row r="2" spans="1:19" ht="45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53" t="s">
        <v>389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169</v>
      </c>
    </row>
    <row r="3" spans="1:19" ht="15" customHeight="1" x14ac:dyDescent="0.25">
      <c r="A3" s="21">
        <v>1</v>
      </c>
      <c r="B3" s="102" t="s">
        <v>24</v>
      </c>
      <c r="C3" s="103">
        <v>72</v>
      </c>
      <c r="D3" s="126">
        <v>1</v>
      </c>
      <c r="E3" s="103" t="s">
        <v>142</v>
      </c>
      <c r="F3" s="144">
        <v>42612</v>
      </c>
      <c r="G3" s="51">
        <f>31/C3</f>
        <v>0.43055555555555558</v>
      </c>
      <c r="H3" s="25"/>
      <c r="I3" s="26">
        <v>0</v>
      </c>
      <c r="J3" s="26"/>
      <c r="K3" s="72"/>
      <c r="L3" s="25"/>
      <c r="M3" s="46"/>
      <c r="N3" s="46"/>
      <c r="O3" s="155" t="s">
        <v>111</v>
      </c>
      <c r="P3" s="156">
        <v>41607</v>
      </c>
      <c r="Q3" s="157">
        <v>1748</v>
      </c>
      <c r="R3" s="158"/>
      <c r="S3" s="159">
        <v>41722</v>
      </c>
    </row>
    <row r="4" spans="1:19" x14ac:dyDescent="0.25">
      <c r="A4" s="22">
        <v>2</v>
      </c>
      <c r="B4" s="73" t="s">
        <v>25</v>
      </c>
      <c r="C4" s="73">
        <v>18</v>
      </c>
      <c r="D4" s="89">
        <v>2</v>
      </c>
      <c r="E4" s="73" t="s">
        <v>143</v>
      </c>
      <c r="F4" s="130">
        <v>41596</v>
      </c>
      <c r="G4" s="145">
        <f>11/18</f>
        <v>0.61111111111111116</v>
      </c>
      <c r="H4" s="74" t="s">
        <v>68</v>
      </c>
      <c r="I4" s="146" t="s">
        <v>174</v>
      </c>
      <c r="J4" s="167">
        <v>669730.91494399996</v>
      </c>
      <c r="K4" s="147">
        <f>J4/3.4528</f>
        <v>193967.47999999998</v>
      </c>
      <c r="L4" s="130">
        <v>42053</v>
      </c>
      <c r="M4" s="75">
        <v>42563</v>
      </c>
      <c r="N4" s="146"/>
      <c r="O4" s="146" t="s">
        <v>111</v>
      </c>
      <c r="P4" s="148">
        <v>41607</v>
      </c>
      <c r="Q4" s="149">
        <v>1748</v>
      </c>
      <c r="R4" s="112"/>
      <c r="S4" s="150">
        <v>41722</v>
      </c>
    </row>
    <row r="5" spans="1:19" x14ac:dyDescent="0.25">
      <c r="A5" s="22">
        <v>3</v>
      </c>
      <c r="B5" s="42" t="s">
        <v>26</v>
      </c>
      <c r="C5" s="42">
        <v>36</v>
      </c>
      <c r="D5" s="281">
        <v>1</v>
      </c>
      <c r="E5" s="42" t="s">
        <v>119</v>
      </c>
      <c r="F5" s="297">
        <v>41613</v>
      </c>
      <c r="G5" s="298">
        <f>24/36</f>
        <v>0.66666666666666663</v>
      </c>
      <c r="H5" s="280" t="s">
        <v>68</v>
      </c>
      <c r="I5" s="279" t="s">
        <v>78</v>
      </c>
      <c r="J5" s="338">
        <v>1266011.1200000001</v>
      </c>
      <c r="K5" s="299">
        <f>J5/3.4528</f>
        <v>366662.16404077853</v>
      </c>
      <c r="L5" s="297">
        <v>41726</v>
      </c>
      <c r="M5" s="300">
        <v>42318</v>
      </c>
      <c r="N5" s="279" t="s">
        <v>68</v>
      </c>
      <c r="O5" s="279" t="s">
        <v>111</v>
      </c>
      <c r="P5" s="301">
        <v>41607</v>
      </c>
      <c r="Q5" s="302">
        <v>1748</v>
      </c>
      <c r="R5" s="303"/>
      <c r="S5" s="304">
        <v>41722</v>
      </c>
    </row>
    <row r="6" spans="1:19" x14ac:dyDescent="0.25">
      <c r="A6" s="22">
        <v>4</v>
      </c>
      <c r="B6" s="42" t="s">
        <v>27</v>
      </c>
      <c r="C6" s="42">
        <v>72</v>
      </c>
      <c r="D6" s="281">
        <v>2</v>
      </c>
      <c r="E6" s="307" t="s">
        <v>101</v>
      </c>
      <c r="F6" s="297">
        <v>41611</v>
      </c>
      <c r="G6" s="298">
        <f>44/72</f>
        <v>0.61111111111111116</v>
      </c>
      <c r="H6" s="280" t="s">
        <v>68</v>
      </c>
      <c r="I6" s="279" t="s">
        <v>228</v>
      </c>
      <c r="J6" s="338">
        <v>1337000.01</v>
      </c>
      <c r="K6" s="299">
        <f>J6/3.4528</f>
        <v>387221.96767840593</v>
      </c>
      <c r="L6" s="297">
        <v>41773</v>
      </c>
      <c r="M6" s="300">
        <v>42321</v>
      </c>
      <c r="N6" s="279" t="s">
        <v>68</v>
      </c>
      <c r="O6" s="279" t="s">
        <v>167</v>
      </c>
      <c r="P6" s="305">
        <v>41827</v>
      </c>
      <c r="Q6" s="292">
        <v>1723.35</v>
      </c>
      <c r="R6" s="306"/>
      <c r="S6" s="304">
        <v>41851</v>
      </c>
    </row>
    <row r="7" spans="1:19" x14ac:dyDescent="0.25">
      <c r="A7" s="22">
        <v>5</v>
      </c>
      <c r="B7" s="73" t="s">
        <v>28</v>
      </c>
      <c r="C7" s="73">
        <v>22</v>
      </c>
      <c r="D7" s="89">
        <v>0</v>
      </c>
      <c r="E7" s="73" t="s">
        <v>154</v>
      </c>
      <c r="F7" s="130">
        <v>42611</v>
      </c>
      <c r="G7" s="145">
        <f>14/C7</f>
        <v>0.63636363636363635</v>
      </c>
      <c r="H7" s="74"/>
      <c r="I7" s="146">
        <v>0</v>
      </c>
      <c r="J7" s="146"/>
      <c r="K7" s="390"/>
      <c r="L7" s="74"/>
      <c r="M7" s="146"/>
      <c r="N7" s="146"/>
      <c r="O7" s="146" t="s">
        <v>111</v>
      </c>
      <c r="P7" s="151">
        <v>41607</v>
      </c>
      <c r="Q7" s="152">
        <v>1748</v>
      </c>
      <c r="R7" s="153"/>
      <c r="S7" s="150">
        <v>41722</v>
      </c>
    </row>
    <row r="8" spans="1:19" x14ac:dyDescent="0.25">
      <c r="A8" s="22">
        <v>6</v>
      </c>
      <c r="B8" s="73" t="s">
        <v>485</v>
      </c>
      <c r="C8" s="73">
        <v>20</v>
      </c>
      <c r="D8" s="89">
        <v>0</v>
      </c>
      <c r="E8" s="73" t="s">
        <v>150</v>
      </c>
      <c r="F8" s="130">
        <v>41617</v>
      </c>
      <c r="G8" s="145">
        <f>12/20</f>
        <v>0.6</v>
      </c>
      <c r="H8" s="74" t="s">
        <v>68</v>
      </c>
      <c r="I8" s="146" t="s">
        <v>241</v>
      </c>
      <c r="J8" s="167">
        <f>K8*3.4528</f>
        <v>990548.82825600007</v>
      </c>
      <c r="K8" s="147">
        <v>286882.77</v>
      </c>
      <c r="L8" s="74">
        <v>2015</v>
      </c>
      <c r="M8" s="75">
        <v>42663</v>
      </c>
      <c r="N8" s="146"/>
      <c r="O8" s="146" t="s">
        <v>111</v>
      </c>
      <c r="P8" s="151">
        <v>41607</v>
      </c>
      <c r="Q8" s="152">
        <v>1748</v>
      </c>
      <c r="R8" s="153"/>
      <c r="S8" s="150">
        <v>41722</v>
      </c>
    </row>
    <row r="9" spans="1:19" x14ac:dyDescent="0.25">
      <c r="A9" s="22">
        <v>7</v>
      </c>
      <c r="B9" s="42" t="s">
        <v>29</v>
      </c>
      <c r="C9" s="42">
        <v>72</v>
      </c>
      <c r="D9" s="281">
        <v>6</v>
      </c>
      <c r="E9" s="42" t="s">
        <v>135</v>
      </c>
      <c r="F9" s="297">
        <v>41598</v>
      </c>
      <c r="G9" s="298">
        <f>40/72</f>
        <v>0.55555555555555558</v>
      </c>
      <c r="H9" s="280" t="s">
        <v>68</v>
      </c>
      <c r="I9" s="279" t="s">
        <v>78</v>
      </c>
      <c r="J9" s="299">
        <v>1108711.4099999999</v>
      </c>
      <c r="K9" s="299">
        <f>J9/3.4528</f>
        <v>321105.01911492122</v>
      </c>
      <c r="L9" s="297">
        <v>41711</v>
      </c>
      <c r="M9" s="300">
        <v>42166</v>
      </c>
      <c r="N9" s="300" t="s">
        <v>68</v>
      </c>
      <c r="O9" s="279" t="s">
        <v>111</v>
      </c>
      <c r="P9" s="301">
        <v>41607</v>
      </c>
      <c r="Q9" s="302">
        <f>1748-21.88</f>
        <v>1726.12</v>
      </c>
      <c r="R9" s="303"/>
      <c r="S9" s="304">
        <v>41722</v>
      </c>
    </row>
    <row r="10" spans="1:19" x14ac:dyDescent="0.25">
      <c r="A10" s="22">
        <v>8</v>
      </c>
      <c r="B10" s="73" t="s">
        <v>30</v>
      </c>
      <c r="C10" s="73">
        <v>65</v>
      </c>
      <c r="D10" s="89">
        <v>1</v>
      </c>
      <c r="E10" s="73" t="s">
        <v>140</v>
      </c>
      <c r="F10" s="130">
        <v>41597</v>
      </c>
      <c r="G10" s="145">
        <f>37/65</f>
        <v>0.56923076923076921</v>
      </c>
      <c r="H10" s="28" t="s">
        <v>75</v>
      </c>
      <c r="I10" s="15">
        <v>0</v>
      </c>
      <c r="J10" s="15"/>
      <c r="K10" s="87"/>
      <c r="L10" s="28"/>
      <c r="M10" s="15"/>
      <c r="N10" s="15"/>
      <c r="O10" s="146" t="s">
        <v>167</v>
      </c>
      <c r="P10" s="148">
        <v>41877</v>
      </c>
      <c r="Q10" s="149">
        <v>1726.12</v>
      </c>
      <c r="R10" s="112"/>
      <c r="S10" s="150">
        <v>41914</v>
      </c>
    </row>
    <row r="11" spans="1:19" x14ac:dyDescent="0.25">
      <c r="A11" s="22">
        <v>9</v>
      </c>
      <c r="B11" s="73" t="s">
        <v>31</v>
      </c>
      <c r="C11" s="73">
        <v>44</v>
      </c>
      <c r="D11" s="89">
        <v>2</v>
      </c>
      <c r="E11" s="73" t="s">
        <v>118</v>
      </c>
      <c r="F11" s="130">
        <v>41592</v>
      </c>
      <c r="G11" s="145">
        <f>29/44</f>
        <v>0.65909090909090906</v>
      </c>
      <c r="H11" s="74" t="s">
        <v>68</v>
      </c>
      <c r="I11" s="146" t="s">
        <v>1107</v>
      </c>
      <c r="J11" s="167">
        <v>1456837.58</v>
      </c>
      <c r="K11" s="147">
        <f>J11/3.4528</f>
        <v>421929.32692307694</v>
      </c>
      <c r="L11" s="130">
        <v>41691</v>
      </c>
      <c r="M11" s="146"/>
      <c r="N11" s="146"/>
      <c r="O11" s="146" t="s">
        <v>111</v>
      </c>
      <c r="P11" s="151">
        <v>41607</v>
      </c>
      <c r="Q11" s="152">
        <v>1748</v>
      </c>
      <c r="R11" s="153"/>
      <c r="S11" s="150">
        <v>41722</v>
      </c>
    </row>
    <row r="12" spans="1:19" x14ac:dyDescent="0.25">
      <c r="A12" s="22">
        <v>10</v>
      </c>
      <c r="B12" s="73" t="s">
        <v>32</v>
      </c>
      <c r="C12" s="73">
        <v>38</v>
      </c>
      <c r="D12" s="89">
        <v>18</v>
      </c>
      <c r="E12" s="73" t="s">
        <v>145</v>
      </c>
      <c r="F12" s="130">
        <v>42436</v>
      </c>
      <c r="G12" s="145">
        <f>24/38</f>
        <v>0.63157894736842102</v>
      </c>
      <c r="H12" s="28" t="s">
        <v>75</v>
      </c>
      <c r="I12" s="15">
        <v>0</v>
      </c>
      <c r="J12" s="15"/>
      <c r="K12" s="63"/>
      <c r="L12" s="28"/>
      <c r="M12" s="15"/>
      <c r="N12" s="15"/>
      <c r="O12" s="146" t="s">
        <v>167</v>
      </c>
      <c r="P12" s="148">
        <v>41877</v>
      </c>
      <c r="Q12" s="149">
        <v>1716.42</v>
      </c>
      <c r="R12" s="112"/>
      <c r="S12" s="150">
        <v>41914</v>
      </c>
    </row>
    <row r="13" spans="1:19" x14ac:dyDescent="0.25">
      <c r="A13" s="22">
        <v>11</v>
      </c>
      <c r="B13" s="73" t="s">
        <v>33</v>
      </c>
      <c r="C13" s="73">
        <v>18</v>
      </c>
      <c r="D13" s="89">
        <v>0</v>
      </c>
      <c r="E13" s="73" t="s">
        <v>117</v>
      </c>
      <c r="F13" s="130">
        <v>41606</v>
      </c>
      <c r="G13" s="145">
        <f>13/18</f>
        <v>0.72222222222222221</v>
      </c>
      <c r="H13" s="74" t="s">
        <v>68</v>
      </c>
      <c r="I13" s="15">
        <v>0</v>
      </c>
      <c r="J13" s="15" t="s">
        <v>76</v>
      </c>
      <c r="K13" s="63" t="s">
        <v>76</v>
      </c>
      <c r="L13" s="28" t="s">
        <v>76</v>
      </c>
      <c r="M13" s="15"/>
      <c r="N13" s="15"/>
      <c r="O13" s="146" t="s">
        <v>111</v>
      </c>
      <c r="P13" s="151">
        <v>41607</v>
      </c>
      <c r="Q13" s="152">
        <v>1748</v>
      </c>
      <c r="R13" s="153"/>
      <c r="S13" s="150">
        <v>41722</v>
      </c>
    </row>
    <row r="14" spans="1:19" ht="15" customHeight="1" x14ac:dyDescent="0.25">
      <c r="A14" s="22">
        <v>12</v>
      </c>
      <c r="B14" s="73" t="s">
        <v>37</v>
      </c>
      <c r="C14" s="73">
        <v>65</v>
      </c>
      <c r="D14" s="89">
        <v>2</v>
      </c>
      <c r="E14" s="73" t="s">
        <v>129</v>
      </c>
      <c r="F14" s="130">
        <v>42585</v>
      </c>
      <c r="G14" s="388">
        <f>41/C14</f>
        <v>0.63076923076923075</v>
      </c>
      <c r="H14" s="74"/>
      <c r="I14" s="146">
        <v>0</v>
      </c>
      <c r="J14" s="146"/>
      <c r="K14" s="73"/>
      <c r="L14" s="74"/>
      <c r="M14" s="146"/>
      <c r="N14" s="146"/>
      <c r="O14" s="146" t="s">
        <v>77</v>
      </c>
      <c r="P14" s="160"/>
      <c r="Q14" s="149"/>
      <c r="R14" s="112"/>
      <c r="S14" s="161"/>
    </row>
    <row r="15" spans="1:19" x14ac:dyDescent="0.25">
      <c r="A15" s="22">
        <v>13</v>
      </c>
      <c r="B15" s="42" t="s">
        <v>35</v>
      </c>
      <c r="C15" s="42">
        <v>40</v>
      </c>
      <c r="D15" s="281">
        <v>1</v>
      </c>
      <c r="E15" s="44" t="s">
        <v>100</v>
      </c>
      <c r="F15" s="297">
        <v>41604</v>
      </c>
      <c r="G15" s="298">
        <f>23/40</f>
        <v>0.57499999999999996</v>
      </c>
      <c r="H15" s="280" t="s">
        <v>68</v>
      </c>
      <c r="I15" s="279" t="s">
        <v>97</v>
      </c>
      <c r="J15" s="299">
        <v>977725.98</v>
      </c>
      <c r="K15" s="299">
        <f>J15/3.4528</f>
        <v>283169.01645041705</v>
      </c>
      <c r="L15" s="297">
        <v>41724</v>
      </c>
      <c r="M15" s="300">
        <v>42173</v>
      </c>
      <c r="N15" s="300" t="s">
        <v>68</v>
      </c>
      <c r="O15" s="279" t="s">
        <v>167</v>
      </c>
      <c r="P15" s="305">
        <v>41795</v>
      </c>
      <c r="Q15" s="292">
        <v>1723.35</v>
      </c>
      <c r="R15" s="306"/>
      <c r="S15" s="304">
        <v>41837</v>
      </c>
    </row>
    <row r="16" spans="1:19" x14ac:dyDescent="0.25">
      <c r="A16" s="22">
        <v>14</v>
      </c>
      <c r="B16" s="73" t="s">
        <v>36</v>
      </c>
      <c r="C16" s="73">
        <v>30</v>
      </c>
      <c r="D16" s="89">
        <v>0</v>
      </c>
      <c r="E16" s="73" t="s">
        <v>152</v>
      </c>
      <c r="F16" s="130">
        <v>41603</v>
      </c>
      <c r="G16" s="145">
        <f>21/30</f>
        <v>0.7</v>
      </c>
      <c r="H16" s="74" t="s">
        <v>68</v>
      </c>
      <c r="I16" s="387" t="s">
        <v>227</v>
      </c>
      <c r="J16" s="167">
        <v>1025384.25</v>
      </c>
      <c r="K16" s="147">
        <f>J16/3.4528</f>
        <v>296971.80549119558</v>
      </c>
      <c r="L16" s="130">
        <v>41739</v>
      </c>
      <c r="M16" s="146"/>
      <c r="N16" s="146"/>
      <c r="O16" s="146" t="s">
        <v>111</v>
      </c>
      <c r="P16" s="151">
        <v>41607</v>
      </c>
      <c r="Q16" s="152">
        <v>1748</v>
      </c>
      <c r="R16" s="153"/>
      <c r="S16" s="150">
        <v>41722</v>
      </c>
    </row>
    <row r="17" spans="1:19" x14ac:dyDescent="0.25">
      <c r="A17" s="22">
        <v>15</v>
      </c>
      <c r="B17" s="42" t="s">
        <v>38</v>
      </c>
      <c r="C17" s="42">
        <v>100</v>
      </c>
      <c r="D17" s="281">
        <v>9</v>
      </c>
      <c r="E17" s="42" t="s">
        <v>123</v>
      </c>
      <c r="F17" s="297">
        <v>41592</v>
      </c>
      <c r="G17" s="298">
        <f>58/100</f>
        <v>0.57999999999999996</v>
      </c>
      <c r="H17" s="280" t="s">
        <v>68</v>
      </c>
      <c r="I17" s="279" t="s">
        <v>228</v>
      </c>
      <c r="J17" s="338">
        <v>1277700.8799999999</v>
      </c>
      <c r="K17" s="299">
        <f>J17/3.4528</f>
        <v>370047.75254865614</v>
      </c>
      <c r="L17" s="297">
        <v>41694</v>
      </c>
      <c r="M17" s="300">
        <v>42347</v>
      </c>
      <c r="N17" s="279" t="s">
        <v>68</v>
      </c>
      <c r="O17" s="279" t="s">
        <v>111</v>
      </c>
      <c r="P17" s="301">
        <v>41607</v>
      </c>
      <c r="Q17" s="302">
        <v>1748</v>
      </c>
      <c r="R17" s="303"/>
      <c r="S17" s="304">
        <v>41722</v>
      </c>
    </row>
    <row r="18" spans="1:19" x14ac:dyDescent="0.25">
      <c r="A18" s="22">
        <v>16</v>
      </c>
      <c r="B18" s="73" t="s">
        <v>39</v>
      </c>
      <c r="C18" s="73">
        <v>65</v>
      </c>
      <c r="D18" s="89">
        <v>3</v>
      </c>
      <c r="E18" s="73" t="s">
        <v>157</v>
      </c>
      <c r="F18" s="130">
        <v>42458</v>
      </c>
      <c r="G18" s="27">
        <f>29/C18</f>
        <v>0.44615384615384618</v>
      </c>
      <c r="H18" s="28"/>
      <c r="I18" s="15">
        <v>0</v>
      </c>
      <c r="J18" s="15"/>
      <c r="K18" s="95"/>
      <c r="L18" s="28"/>
      <c r="M18" s="15"/>
      <c r="N18" s="15"/>
      <c r="O18" s="146" t="s">
        <v>77</v>
      </c>
      <c r="P18" s="160"/>
      <c r="Q18" s="149"/>
      <c r="R18" s="112"/>
      <c r="S18" s="161"/>
    </row>
    <row r="19" spans="1:19" x14ac:dyDescent="0.25">
      <c r="A19" s="22">
        <v>17</v>
      </c>
      <c r="B19" s="42" t="s">
        <v>34</v>
      </c>
      <c r="C19" s="42">
        <v>30</v>
      </c>
      <c r="D19" s="281">
        <v>1</v>
      </c>
      <c r="E19" s="42" t="s">
        <v>107</v>
      </c>
      <c r="F19" s="297">
        <v>41605</v>
      </c>
      <c r="G19" s="298">
        <f>18/29</f>
        <v>0.62068965517241381</v>
      </c>
      <c r="H19" s="280" t="s">
        <v>68</v>
      </c>
      <c r="I19" s="279" t="s">
        <v>78</v>
      </c>
      <c r="J19" s="338">
        <v>774111.15</v>
      </c>
      <c r="K19" s="359">
        <f>J19/3.4528</f>
        <v>224198.0856116775</v>
      </c>
      <c r="L19" s="297">
        <v>41726</v>
      </c>
      <c r="M19" s="300">
        <v>42324</v>
      </c>
      <c r="N19" s="279" t="s">
        <v>68</v>
      </c>
      <c r="O19" s="279" t="s">
        <v>167</v>
      </c>
      <c r="P19" s="305">
        <v>41808</v>
      </c>
      <c r="Q19" s="292">
        <v>1723.35</v>
      </c>
      <c r="R19" s="306"/>
      <c r="S19" s="304">
        <v>41919</v>
      </c>
    </row>
    <row r="20" spans="1:19" x14ac:dyDescent="0.25">
      <c r="A20" s="22">
        <v>18</v>
      </c>
      <c r="B20" s="73" t="s">
        <v>175</v>
      </c>
      <c r="C20" s="73">
        <v>30</v>
      </c>
      <c r="D20" s="89">
        <v>0</v>
      </c>
      <c r="E20" s="73" t="s">
        <v>128</v>
      </c>
      <c r="F20" s="130">
        <v>41598</v>
      </c>
      <c r="G20" s="27">
        <f>4/18</f>
        <v>0.22222222222222221</v>
      </c>
      <c r="H20" s="28"/>
      <c r="I20" s="15">
        <v>0</v>
      </c>
      <c r="J20" s="15"/>
      <c r="K20" s="63"/>
      <c r="L20" s="28"/>
      <c r="M20" s="15"/>
      <c r="N20" s="15"/>
      <c r="O20" s="146" t="s">
        <v>111</v>
      </c>
      <c r="P20" s="151">
        <v>41607</v>
      </c>
      <c r="Q20" s="152">
        <v>1748</v>
      </c>
      <c r="R20" s="153"/>
      <c r="S20" s="150">
        <v>41722</v>
      </c>
    </row>
    <row r="21" spans="1:19" x14ac:dyDescent="0.25">
      <c r="A21" s="22">
        <v>19</v>
      </c>
      <c r="B21" s="42" t="s">
        <v>40</v>
      </c>
      <c r="C21" s="42">
        <v>22</v>
      </c>
      <c r="D21" s="281">
        <v>22</v>
      </c>
      <c r="E21" s="42" t="s">
        <v>144</v>
      </c>
      <c r="F21" s="297">
        <v>41617</v>
      </c>
      <c r="G21" s="298">
        <f>22/22</f>
        <v>1</v>
      </c>
      <c r="H21" s="280" t="s">
        <v>68</v>
      </c>
      <c r="I21" s="279" t="s">
        <v>98</v>
      </c>
      <c r="J21" s="338">
        <v>786639.44</v>
      </c>
      <c r="K21" s="299">
        <f>J21/3.4528</f>
        <v>227826.52919369785</v>
      </c>
      <c r="L21" s="297">
        <v>41774</v>
      </c>
      <c r="M21" s="300">
        <v>42356</v>
      </c>
      <c r="N21" s="279" t="s">
        <v>68</v>
      </c>
      <c r="O21" s="279" t="s">
        <v>167</v>
      </c>
      <c r="P21" s="305">
        <v>41843</v>
      </c>
      <c r="Q21" s="292">
        <v>1716.42</v>
      </c>
      <c r="R21" s="306"/>
      <c r="S21" s="304">
        <v>41914</v>
      </c>
    </row>
    <row r="22" spans="1:19" x14ac:dyDescent="0.25">
      <c r="A22" s="22">
        <v>20</v>
      </c>
      <c r="B22" s="42" t="s">
        <v>41</v>
      </c>
      <c r="C22" s="42">
        <v>44</v>
      </c>
      <c r="D22" s="281">
        <v>1</v>
      </c>
      <c r="E22" s="42" t="s">
        <v>139</v>
      </c>
      <c r="F22" s="297">
        <v>41592</v>
      </c>
      <c r="G22" s="298">
        <f>27/44</f>
        <v>0.61363636363636365</v>
      </c>
      <c r="H22" s="280" t="s">
        <v>68</v>
      </c>
      <c r="I22" s="279" t="s">
        <v>228</v>
      </c>
      <c r="J22" s="299">
        <v>1206124.22</v>
      </c>
      <c r="K22" s="299">
        <f>J22/3.4528</f>
        <v>349317.71895273402</v>
      </c>
      <c r="L22" s="297">
        <v>41694</v>
      </c>
      <c r="M22" s="300">
        <v>42135</v>
      </c>
      <c r="N22" s="300" t="s">
        <v>68</v>
      </c>
      <c r="O22" s="279" t="s">
        <v>111</v>
      </c>
      <c r="P22" s="301">
        <v>41607</v>
      </c>
      <c r="Q22" s="302">
        <f>1748-21.88</f>
        <v>1726.12</v>
      </c>
      <c r="R22" s="303"/>
      <c r="S22" s="304">
        <v>41722</v>
      </c>
    </row>
    <row r="23" spans="1:19" x14ac:dyDescent="0.25">
      <c r="A23" s="22">
        <v>21</v>
      </c>
      <c r="B23" s="73" t="s">
        <v>42</v>
      </c>
      <c r="C23" s="73">
        <v>25</v>
      </c>
      <c r="D23" s="89">
        <v>1</v>
      </c>
      <c r="E23" s="73" t="s">
        <v>131</v>
      </c>
      <c r="F23" s="130">
        <v>41598</v>
      </c>
      <c r="G23" s="145">
        <f>16/25</f>
        <v>0.64</v>
      </c>
      <c r="H23" s="74" t="s">
        <v>68</v>
      </c>
      <c r="I23" s="73" t="s">
        <v>227</v>
      </c>
      <c r="J23" s="167">
        <v>747113.05</v>
      </c>
      <c r="K23" s="147">
        <f>J23/3.4528</f>
        <v>216378.89538924932</v>
      </c>
      <c r="L23" s="130">
        <v>41753</v>
      </c>
      <c r="M23" s="75">
        <v>42668</v>
      </c>
      <c r="N23" s="146"/>
      <c r="O23" s="146" t="s">
        <v>77</v>
      </c>
      <c r="P23" s="160"/>
      <c r="Q23" s="85"/>
      <c r="R23" s="162"/>
      <c r="S23" s="161"/>
    </row>
    <row r="24" spans="1:19" x14ac:dyDescent="0.25">
      <c r="A24" s="22">
        <v>22</v>
      </c>
      <c r="B24" s="73" t="s">
        <v>43</v>
      </c>
      <c r="C24" s="73">
        <v>60</v>
      </c>
      <c r="D24" s="89">
        <v>3</v>
      </c>
      <c r="E24" s="73" t="s">
        <v>112</v>
      </c>
      <c r="F24" s="130">
        <v>42534</v>
      </c>
      <c r="G24" s="145">
        <f>41/60</f>
        <v>0.68333333333333335</v>
      </c>
      <c r="H24" s="74"/>
      <c r="I24" s="146">
        <v>0</v>
      </c>
      <c r="J24" s="146"/>
      <c r="K24" s="73"/>
      <c r="L24" s="74"/>
      <c r="M24" s="146"/>
      <c r="N24" s="146"/>
      <c r="O24" s="146" t="s">
        <v>167</v>
      </c>
      <c r="P24" s="148">
        <v>41808</v>
      </c>
      <c r="Q24" s="85">
        <v>1723.35</v>
      </c>
      <c r="R24" s="162"/>
      <c r="S24" s="150">
        <v>41919</v>
      </c>
    </row>
    <row r="25" spans="1:19" x14ac:dyDescent="0.25">
      <c r="A25" s="22">
        <v>23</v>
      </c>
      <c r="B25" s="163" t="s">
        <v>44</v>
      </c>
      <c r="C25" s="73">
        <v>18</v>
      </c>
      <c r="D25" s="89">
        <v>0</v>
      </c>
      <c r="E25" s="73" t="s">
        <v>115</v>
      </c>
      <c r="F25" s="130">
        <v>41606</v>
      </c>
      <c r="G25" s="51" t="s">
        <v>72</v>
      </c>
      <c r="H25" s="28"/>
      <c r="I25" s="15">
        <v>0</v>
      </c>
      <c r="J25" s="15"/>
      <c r="K25" s="63"/>
      <c r="L25" s="28"/>
      <c r="M25" s="15"/>
      <c r="N25" s="15"/>
      <c r="O25" s="146" t="s">
        <v>77</v>
      </c>
      <c r="P25" s="160"/>
      <c r="Q25" s="85"/>
      <c r="R25" s="162"/>
      <c r="S25" s="161"/>
    </row>
    <row r="26" spans="1:19" x14ac:dyDescent="0.25">
      <c r="A26" s="23">
        <v>24</v>
      </c>
      <c r="B26" s="77" t="s">
        <v>45</v>
      </c>
      <c r="C26" s="73">
        <v>53</v>
      </c>
      <c r="D26" s="89">
        <v>1</v>
      </c>
      <c r="E26" s="73" t="s">
        <v>133</v>
      </c>
      <c r="F26" s="164">
        <v>42612</v>
      </c>
      <c r="G26" s="394">
        <f>36/C26</f>
        <v>0.67924528301886788</v>
      </c>
      <c r="H26" s="395"/>
      <c r="I26" s="393">
        <v>0</v>
      </c>
      <c r="J26" s="393"/>
      <c r="K26" s="391"/>
      <c r="L26" s="392"/>
      <c r="M26" s="393"/>
      <c r="N26" s="393"/>
      <c r="O26" s="146" t="s">
        <v>77</v>
      </c>
      <c r="P26" s="160"/>
      <c r="Q26" s="85"/>
      <c r="R26" s="162"/>
      <c r="S26" s="161"/>
    </row>
    <row r="27" spans="1:19" x14ac:dyDescent="0.25">
      <c r="A27" s="23">
        <v>25</v>
      </c>
      <c r="B27" s="77" t="s">
        <v>46</v>
      </c>
      <c r="C27" s="73">
        <v>40</v>
      </c>
      <c r="D27" s="89">
        <v>0</v>
      </c>
      <c r="E27" s="73" t="s">
        <v>114</v>
      </c>
      <c r="F27" s="164">
        <v>41603</v>
      </c>
      <c r="G27" s="165">
        <f>23/40</f>
        <v>0.57499999999999996</v>
      </c>
      <c r="H27" s="32" t="s">
        <v>75</v>
      </c>
      <c r="I27" s="15">
        <v>0</v>
      </c>
      <c r="J27" s="15"/>
      <c r="K27" s="63"/>
      <c r="L27" s="28"/>
      <c r="M27" s="15"/>
      <c r="N27" s="15"/>
      <c r="O27" s="146" t="s">
        <v>167</v>
      </c>
      <c r="P27" s="148">
        <v>41808</v>
      </c>
      <c r="Q27" s="85">
        <v>1723.35</v>
      </c>
      <c r="R27" s="162"/>
      <c r="S27" s="150">
        <v>41919</v>
      </c>
    </row>
    <row r="28" spans="1:19" x14ac:dyDescent="0.25">
      <c r="A28" s="23">
        <v>26</v>
      </c>
      <c r="B28" s="77" t="s">
        <v>47</v>
      </c>
      <c r="C28" s="73">
        <v>40</v>
      </c>
      <c r="D28" s="89">
        <v>1</v>
      </c>
      <c r="E28" s="73" t="s">
        <v>121</v>
      </c>
      <c r="F28" s="164">
        <v>41610</v>
      </c>
      <c r="G28" s="165">
        <f>24/40</f>
        <v>0.6</v>
      </c>
      <c r="H28" s="166" t="s">
        <v>68</v>
      </c>
      <c r="I28" s="387" t="s">
        <v>227</v>
      </c>
      <c r="J28" s="167">
        <v>1456789.13</v>
      </c>
      <c r="K28" s="147">
        <f>J28/3.4528</f>
        <v>421915.29483317886</v>
      </c>
      <c r="L28" s="130">
        <v>41724</v>
      </c>
      <c r="M28" s="146"/>
      <c r="N28" s="146"/>
      <c r="O28" s="146" t="s">
        <v>111</v>
      </c>
      <c r="P28" s="151">
        <v>41607</v>
      </c>
      <c r="Q28" s="152">
        <v>1748</v>
      </c>
      <c r="R28" s="153"/>
      <c r="S28" s="150">
        <v>41722</v>
      </c>
    </row>
    <row r="29" spans="1:19" x14ac:dyDescent="0.25">
      <c r="A29" s="23">
        <v>27</v>
      </c>
      <c r="B29" s="307" t="s">
        <v>48</v>
      </c>
      <c r="C29" s="42">
        <v>45</v>
      </c>
      <c r="D29" s="281">
        <v>1</v>
      </c>
      <c r="E29" s="42" t="s">
        <v>147</v>
      </c>
      <c r="F29" s="308">
        <v>41599</v>
      </c>
      <c r="G29" s="309">
        <f>26/45</f>
        <v>0.57777777777777772</v>
      </c>
      <c r="H29" s="310" t="s">
        <v>68</v>
      </c>
      <c r="I29" s="279" t="s">
        <v>228</v>
      </c>
      <c r="J29" s="338">
        <f>923720.55</f>
        <v>923720.55</v>
      </c>
      <c r="K29" s="299">
        <f>J29/3.4528</f>
        <v>267527.96281278966</v>
      </c>
      <c r="L29" s="297">
        <v>41848</v>
      </c>
      <c r="M29" s="300">
        <v>42347</v>
      </c>
      <c r="N29" s="279" t="s">
        <v>68</v>
      </c>
      <c r="O29" s="279" t="s">
        <v>111</v>
      </c>
      <c r="P29" s="301">
        <v>41607</v>
      </c>
      <c r="Q29" s="302">
        <v>1748</v>
      </c>
      <c r="R29" s="303"/>
      <c r="S29" s="304">
        <v>41722</v>
      </c>
    </row>
    <row r="30" spans="1:19" x14ac:dyDescent="0.25">
      <c r="A30" s="23">
        <v>28</v>
      </c>
      <c r="B30" s="307" t="s">
        <v>49</v>
      </c>
      <c r="C30" s="42">
        <v>75</v>
      </c>
      <c r="D30" s="281">
        <v>0</v>
      </c>
      <c r="E30" s="42" t="s">
        <v>116</v>
      </c>
      <c r="F30" s="308">
        <v>41611</v>
      </c>
      <c r="G30" s="309">
        <f>45/75</f>
        <v>0.6</v>
      </c>
      <c r="H30" s="280" t="s">
        <v>68</v>
      </c>
      <c r="I30" s="279" t="s">
        <v>228</v>
      </c>
      <c r="J30" s="338">
        <v>1696000.19</v>
      </c>
      <c r="K30" s="299">
        <f>J30/3.4528</f>
        <v>491195.60646431881</v>
      </c>
      <c r="L30" s="297">
        <v>41746</v>
      </c>
      <c r="M30" s="300">
        <v>42347</v>
      </c>
      <c r="N30" s="279" t="s">
        <v>68</v>
      </c>
      <c r="O30" s="279" t="s">
        <v>167</v>
      </c>
      <c r="P30" s="305">
        <v>41843</v>
      </c>
      <c r="Q30" s="127">
        <v>1723.35</v>
      </c>
      <c r="R30" s="138"/>
      <c r="S30" s="304">
        <v>41914</v>
      </c>
    </row>
    <row r="31" spans="1:19" x14ac:dyDescent="0.25">
      <c r="A31" s="23">
        <v>29</v>
      </c>
      <c r="B31" s="307" t="s">
        <v>50</v>
      </c>
      <c r="C31" s="42">
        <v>45</v>
      </c>
      <c r="D31" s="281">
        <v>1</v>
      </c>
      <c r="E31" s="42" t="s">
        <v>120</v>
      </c>
      <c r="F31" s="308">
        <v>41597</v>
      </c>
      <c r="G31" s="309">
        <f>30/45</f>
        <v>0.66666666666666663</v>
      </c>
      <c r="H31" s="310" t="s">
        <v>68</v>
      </c>
      <c r="I31" s="279" t="s">
        <v>224</v>
      </c>
      <c r="J31" s="299">
        <v>1152731.33</v>
      </c>
      <c r="K31" s="299">
        <f>J31/3.4528</f>
        <v>333854.06916126044</v>
      </c>
      <c r="L31" s="297">
        <v>41694</v>
      </c>
      <c r="M31" s="300">
        <v>42173</v>
      </c>
      <c r="N31" s="300" t="s">
        <v>68</v>
      </c>
      <c r="O31" s="279" t="s">
        <v>167</v>
      </c>
      <c r="P31" s="305">
        <v>41844</v>
      </c>
      <c r="Q31" s="127">
        <v>1726.12</v>
      </c>
      <c r="R31" s="138"/>
      <c r="S31" s="304">
        <v>41914</v>
      </c>
    </row>
    <row r="32" spans="1:19" x14ac:dyDescent="0.25">
      <c r="A32" s="22">
        <v>30</v>
      </c>
      <c r="B32" s="73" t="s">
        <v>51</v>
      </c>
      <c r="C32" s="73">
        <v>75</v>
      </c>
      <c r="D32" s="89">
        <v>3</v>
      </c>
      <c r="E32" s="73" t="s">
        <v>155</v>
      </c>
      <c r="F32" s="130">
        <v>41599</v>
      </c>
      <c r="G32" s="51" t="s">
        <v>72</v>
      </c>
      <c r="H32" s="28"/>
      <c r="I32" s="15">
        <v>0</v>
      </c>
      <c r="J32" s="15"/>
      <c r="K32" s="63"/>
      <c r="L32" s="28"/>
      <c r="M32" s="15"/>
      <c r="N32" s="15"/>
      <c r="O32" s="146" t="s">
        <v>77</v>
      </c>
      <c r="P32" s="160"/>
      <c r="Q32" s="85"/>
      <c r="R32" s="162"/>
      <c r="S32" s="161"/>
    </row>
    <row r="33" spans="1:19" x14ac:dyDescent="0.25">
      <c r="A33" s="23">
        <v>31</v>
      </c>
      <c r="B33" s="307" t="s">
        <v>52</v>
      </c>
      <c r="C33" s="42">
        <v>40</v>
      </c>
      <c r="D33" s="281">
        <v>0</v>
      </c>
      <c r="E33" s="42" t="s">
        <v>136</v>
      </c>
      <c r="F33" s="308">
        <v>41612</v>
      </c>
      <c r="G33" s="309">
        <f>24/40</f>
        <v>0.6</v>
      </c>
      <c r="H33" s="310" t="s">
        <v>68</v>
      </c>
      <c r="I33" s="279" t="s">
        <v>96</v>
      </c>
      <c r="J33" s="299">
        <v>956485.64</v>
      </c>
      <c r="K33" s="299">
        <f>J33/3.4528</f>
        <v>277017.38878591289</v>
      </c>
      <c r="L33" s="297">
        <v>41743</v>
      </c>
      <c r="M33" s="300">
        <v>42209</v>
      </c>
      <c r="N33" s="300" t="s">
        <v>68</v>
      </c>
      <c r="O33" s="279" t="s">
        <v>167</v>
      </c>
      <c r="P33" s="305">
        <v>41850</v>
      </c>
      <c r="Q33" s="127">
        <v>1723.35</v>
      </c>
      <c r="R33" s="138"/>
      <c r="S33" s="304">
        <v>41914</v>
      </c>
    </row>
    <row r="34" spans="1:19" x14ac:dyDescent="0.25">
      <c r="A34" s="23">
        <v>32</v>
      </c>
      <c r="B34" s="77" t="s">
        <v>486</v>
      </c>
      <c r="C34" s="73">
        <v>28</v>
      </c>
      <c r="D34" s="89">
        <v>0</v>
      </c>
      <c r="E34" s="73" t="s">
        <v>122</v>
      </c>
      <c r="F34" s="164">
        <v>41596</v>
      </c>
      <c r="G34" s="51" t="s">
        <v>72</v>
      </c>
      <c r="H34" s="32"/>
      <c r="I34" s="15">
        <v>0</v>
      </c>
      <c r="J34" s="15"/>
      <c r="K34" s="63"/>
      <c r="L34" s="28"/>
      <c r="M34" s="15"/>
      <c r="N34" s="15"/>
      <c r="O34" s="146" t="s">
        <v>111</v>
      </c>
      <c r="P34" s="151">
        <v>41607</v>
      </c>
      <c r="Q34" s="152">
        <v>1748</v>
      </c>
      <c r="R34" s="153"/>
      <c r="S34" s="150">
        <v>41722</v>
      </c>
    </row>
    <row r="35" spans="1:19" x14ac:dyDescent="0.25">
      <c r="A35" s="23">
        <v>33</v>
      </c>
      <c r="B35" s="77" t="s">
        <v>53</v>
      </c>
      <c r="C35" s="73">
        <v>20</v>
      </c>
      <c r="D35" s="89">
        <v>0</v>
      </c>
      <c r="E35" s="73" t="s">
        <v>132</v>
      </c>
      <c r="F35" s="164">
        <v>41610</v>
      </c>
      <c r="G35" s="29">
        <f>3/20</f>
        <v>0.15</v>
      </c>
      <c r="H35" s="32"/>
      <c r="I35" s="15">
        <v>0</v>
      </c>
      <c r="J35" s="15"/>
      <c r="K35" s="63"/>
      <c r="L35" s="28"/>
      <c r="M35" s="15"/>
      <c r="N35" s="15"/>
      <c r="O35" s="146" t="s">
        <v>111</v>
      </c>
      <c r="P35" s="151">
        <v>41607</v>
      </c>
      <c r="Q35" s="152">
        <v>1748</v>
      </c>
      <c r="R35" s="153"/>
      <c r="S35" s="150">
        <v>41722</v>
      </c>
    </row>
    <row r="36" spans="1:19" x14ac:dyDescent="0.25">
      <c r="A36" s="23">
        <v>34</v>
      </c>
      <c r="B36" s="307" t="s">
        <v>54</v>
      </c>
      <c r="C36" s="42">
        <v>65</v>
      </c>
      <c r="D36" s="281">
        <v>5</v>
      </c>
      <c r="E36" s="42" t="s">
        <v>137</v>
      </c>
      <c r="F36" s="308">
        <v>41606</v>
      </c>
      <c r="G36" s="309">
        <f>38/65</f>
        <v>0.58461538461538465</v>
      </c>
      <c r="H36" s="310" t="s">
        <v>68</v>
      </c>
      <c r="I36" s="279" t="s">
        <v>96</v>
      </c>
      <c r="J36" s="299">
        <v>1053825.3</v>
      </c>
      <c r="K36" s="299">
        <f>J36/3.4528</f>
        <v>305208.90291936981</v>
      </c>
      <c r="L36" s="297">
        <v>41779</v>
      </c>
      <c r="M36" s="300">
        <v>42209</v>
      </c>
      <c r="N36" s="300" t="s">
        <v>68</v>
      </c>
      <c r="O36" s="279" t="s">
        <v>167</v>
      </c>
      <c r="P36" s="305">
        <v>41850</v>
      </c>
      <c r="Q36" s="127">
        <v>1723.35</v>
      </c>
      <c r="R36" s="138"/>
      <c r="S36" s="304">
        <v>41914</v>
      </c>
    </row>
    <row r="37" spans="1:19" x14ac:dyDescent="0.25">
      <c r="A37" s="23">
        <v>35</v>
      </c>
      <c r="B37" s="77" t="s">
        <v>55</v>
      </c>
      <c r="C37" s="73">
        <v>54</v>
      </c>
      <c r="D37" s="89">
        <v>2</v>
      </c>
      <c r="E37" s="73" t="s">
        <v>149</v>
      </c>
      <c r="F37" s="164">
        <v>41604</v>
      </c>
      <c r="G37" s="51" t="s">
        <v>72</v>
      </c>
      <c r="H37" s="32"/>
      <c r="I37" s="15">
        <v>0</v>
      </c>
      <c r="J37" s="15"/>
      <c r="K37" s="63"/>
      <c r="L37" s="28"/>
      <c r="M37" s="15"/>
      <c r="N37" s="15"/>
      <c r="O37" s="146" t="s">
        <v>77</v>
      </c>
      <c r="P37" s="160"/>
      <c r="Q37" s="85"/>
      <c r="R37" s="162"/>
      <c r="S37" s="161"/>
    </row>
    <row r="38" spans="1:19" x14ac:dyDescent="0.25">
      <c r="A38" s="23">
        <v>36</v>
      </c>
      <c r="B38" s="307" t="s">
        <v>56</v>
      </c>
      <c r="C38" s="42">
        <v>25</v>
      </c>
      <c r="D38" s="281">
        <v>0</v>
      </c>
      <c r="E38" s="42" t="s">
        <v>138</v>
      </c>
      <c r="F38" s="308">
        <v>41612</v>
      </c>
      <c r="G38" s="309">
        <f>14/24</f>
        <v>0.58333333333333337</v>
      </c>
      <c r="H38" s="280" t="s">
        <v>68</v>
      </c>
      <c r="I38" s="279" t="s">
        <v>78</v>
      </c>
      <c r="J38" s="299">
        <v>719911.01</v>
      </c>
      <c r="K38" s="299">
        <f>J38/3.4528</f>
        <v>208500.64006024098</v>
      </c>
      <c r="L38" s="297">
        <v>41747</v>
      </c>
      <c r="M38" s="300">
        <v>42192</v>
      </c>
      <c r="N38" s="300" t="s">
        <v>68</v>
      </c>
      <c r="O38" s="279" t="s">
        <v>167</v>
      </c>
      <c r="P38" s="305">
        <v>41850</v>
      </c>
      <c r="Q38" s="127">
        <v>1723.35</v>
      </c>
      <c r="R38" s="138"/>
      <c r="S38" s="304">
        <v>41914</v>
      </c>
    </row>
    <row r="39" spans="1:19" x14ac:dyDescent="0.25">
      <c r="A39" s="23">
        <v>37</v>
      </c>
      <c r="B39" s="307" t="s">
        <v>57</v>
      </c>
      <c r="C39" s="42">
        <v>80</v>
      </c>
      <c r="D39" s="281">
        <v>3</v>
      </c>
      <c r="E39" s="42" t="s">
        <v>125</v>
      </c>
      <c r="F39" s="308">
        <v>41596</v>
      </c>
      <c r="G39" s="309">
        <f>50/80</f>
        <v>0.625</v>
      </c>
      <c r="H39" s="310" t="s">
        <v>68</v>
      </c>
      <c r="I39" s="279" t="s">
        <v>78</v>
      </c>
      <c r="J39" s="338">
        <v>2036111.41</v>
      </c>
      <c r="K39" s="299">
        <f>J39/3.4528</f>
        <v>589698.62430491194</v>
      </c>
      <c r="L39" s="297">
        <v>41710</v>
      </c>
      <c r="M39" s="300">
        <v>42310</v>
      </c>
      <c r="N39" s="279" t="s">
        <v>68</v>
      </c>
      <c r="O39" s="279" t="s">
        <v>111</v>
      </c>
      <c r="P39" s="301">
        <v>41607</v>
      </c>
      <c r="Q39" s="302">
        <v>1748</v>
      </c>
      <c r="R39" s="303"/>
      <c r="S39" s="304">
        <v>41722</v>
      </c>
    </row>
    <row r="40" spans="1:19" x14ac:dyDescent="0.25">
      <c r="A40" s="23">
        <v>38</v>
      </c>
      <c r="B40" s="77" t="s">
        <v>58</v>
      </c>
      <c r="C40" s="73">
        <v>22</v>
      </c>
      <c r="D40" s="89">
        <v>0</v>
      </c>
      <c r="E40" s="73" t="s">
        <v>130</v>
      </c>
      <c r="F40" s="164">
        <v>42612</v>
      </c>
      <c r="G40" s="51">
        <f>1/C40</f>
        <v>4.5454545454545456E-2</v>
      </c>
      <c r="H40" s="32"/>
      <c r="I40" s="15">
        <v>0</v>
      </c>
      <c r="J40" s="15"/>
      <c r="K40" s="63"/>
      <c r="L40" s="28"/>
      <c r="M40" s="15"/>
      <c r="N40" s="15"/>
      <c r="O40" s="146" t="s">
        <v>77</v>
      </c>
      <c r="P40" s="160"/>
      <c r="Q40" s="85"/>
      <c r="R40" s="162"/>
      <c r="S40" s="161"/>
    </row>
    <row r="41" spans="1:19" x14ac:dyDescent="0.25">
      <c r="A41" s="23">
        <v>39</v>
      </c>
      <c r="B41" s="307" t="s">
        <v>478</v>
      </c>
      <c r="C41" s="42">
        <v>45</v>
      </c>
      <c r="D41" s="281">
        <v>0</v>
      </c>
      <c r="E41" s="42" t="s">
        <v>156</v>
      </c>
      <c r="F41" s="308">
        <v>41663</v>
      </c>
      <c r="G41" s="350">
        <f>32/45</f>
        <v>0.71111111111111114</v>
      </c>
      <c r="H41" s="310" t="s">
        <v>68</v>
      </c>
      <c r="I41" s="279" t="s">
        <v>228</v>
      </c>
      <c r="J41" s="338">
        <v>1545051.75</v>
      </c>
      <c r="K41" s="299">
        <f>J41/3.4528</f>
        <v>447477.91647358669</v>
      </c>
      <c r="L41" s="297">
        <v>41743</v>
      </c>
      <c r="M41" s="300">
        <v>42278</v>
      </c>
      <c r="N41" s="300" t="s">
        <v>68</v>
      </c>
      <c r="O41" s="279" t="s">
        <v>167</v>
      </c>
      <c r="P41" s="305">
        <v>41906</v>
      </c>
      <c r="Q41" s="127">
        <v>1716.42</v>
      </c>
      <c r="R41" s="138"/>
      <c r="S41" s="304">
        <v>41947</v>
      </c>
    </row>
    <row r="42" spans="1:19" x14ac:dyDescent="0.25">
      <c r="A42" s="23">
        <v>40</v>
      </c>
      <c r="B42" s="77" t="s">
        <v>59</v>
      </c>
      <c r="C42" s="73">
        <v>75</v>
      </c>
      <c r="D42" s="89">
        <v>20</v>
      </c>
      <c r="E42" s="73" t="s">
        <v>127</v>
      </c>
      <c r="F42" s="164">
        <v>41598</v>
      </c>
      <c r="G42" s="51" t="s">
        <v>72</v>
      </c>
      <c r="H42" s="55"/>
      <c r="I42" s="57">
        <v>0</v>
      </c>
      <c r="J42" s="57"/>
      <c r="K42" s="88"/>
      <c r="L42" s="86"/>
      <c r="M42" s="56"/>
      <c r="N42" s="56"/>
      <c r="O42" s="146" t="s">
        <v>77</v>
      </c>
      <c r="P42" s="160"/>
      <c r="Q42" s="85"/>
      <c r="R42" s="162"/>
      <c r="S42" s="161"/>
    </row>
    <row r="43" spans="1:19" x14ac:dyDescent="0.25">
      <c r="A43" s="23">
        <v>41</v>
      </c>
      <c r="B43" s="77" t="s">
        <v>60</v>
      </c>
      <c r="C43" s="73">
        <v>50</v>
      </c>
      <c r="D43" s="89">
        <v>4</v>
      </c>
      <c r="E43" s="73" t="s">
        <v>141</v>
      </c>
      <c r="F43" s="164">
        <v>41613</v>
      </c>
      <c r="G43" s="165">
        <f>30/50</f>
        <v>0.6</v>
      </c>
      <c r="H43" s="166" t="s">
        <v>68</v>
      </c>
      <c r="I43" s="387" t="s">
        <v>227</v>
      </c>
      <c r="J43" s="167">
        <v>1275003.67</v>
      </c>
      <c r="K43" s="147">
        <f>J43/3.4528</f>
        <v>369266.5865384615</v>
      </c>
      <c r="L43" s="130">
        <v>41739</v>
      </c>
      <c r="M43" s="75"/>
      <c r="N43" s="146"/>
      <c r="O43" s="146" t="s">
        <v>167</v>
      </c>
      <c r="P43" s="148">
        <v>41850</v>
      </c>
      <c r="Q43" s="85">
        <v>1723.35</v>
      </c>
      <c r="R43" s="162"/>
      <c r="S43" s="150">
        <v>41914</v>
      </c>
    </row>
    <row r="44" spans="1:19" x14ac:dyDescent="0.25">
      <c r="A44" s="23">
        <v>42</v>
      </c>
      <c r="B44" s="307" t="s">
        <v>61</v>
      </c>
      <c r="C44" s="42">
        <v>60</v>
      </c>
      <c r="D44" s="281">
        <v>4</v>
      </c>
      <c r="E44" s="42" t="s">
        <v>134</v>
      </c>
      <c r="F44" s="308">
        <v>41612</v>
      </c>
      <c r="G44" s="309">
        <f>40/60</f>
        <v>0.66666666666666663</v>
      </c>
      <c r="H44" s="310" t="s">
        <v>68</v>
      </c>
      <c r="I44" s="279" t="s">
        <v>78</v>
      </c>
      <c r="J44" s="338">
        <v>1315111.1100000001</v>
      </c>
      <c r="K44" s="299">
        <f>J44/3.4528</f>
        <v>380882.50405468029</v>
      </c>
      <c r="L44" s="297">
        <v>41774</v>
      </c>
      <c r="M44" s="300">
        <v>42353</v>
      </c>
      <c r="N44" s="279" t="s">
        <v>68</v>
      </c>
      <c r="O44" s="279" t="s">
        <v>167</v>
      </c>
      <c r="P44" s="305">
        <v>41850</v>
      </c>
      <c r="Q44" s="127">
        <v>1723.35</v>
      </c>
      <c r="R44" s="138"/>
      <c r="S44" s="304">
        <v>41914</v>
      </c>
    </row>
    <row r="45" spans="1:19" x14ac:dyDescent="0.25">
      <c r="A45" s="23">
        <v>43</v>
      </c>
      <c r="B45" s="77" t="s">
        <v>62</v>
      </c>
      <c r="C45" s="73">
        <v>60</v>
      </c>
      <c r="D45" s="89">
        <v>9</v>
      </c>
      <c r="E45" s="73" t="s">
        <v>125</v>
      </c>
      <c r="F45" s="164">
        <v>42548</v>
      </c>
      <c r="G45" s="51">
        <f>16/C45</f>
        <v>0.26666666666666666</v>
      </c>
      <c r="H45" s="32"/>
      <c r="I45" s="15">
        <v>0</v>
      </c>
      <c r="J45" s="15"/>
      <c r="K45" s="63"/>
      <c r="L45" s="28"/>
      <c r="M45" s="15"/>
      <c r="N45" s="15"/>
      <c r="O45" s="146" t="s">
        <v>77</v>
      </c>
      <c r="P45" s="160"/>
      <c r="Q45" s="85"/>
      <c r="R45" s="162"/>
      <c r="S45" s="161"/>
    </row>
    <row r="46" spans="1:19" x14ac:dyDescent="0.25">
      <c r="A46" s="23">
        <v>44</v>
      </c>
      <c r="B46" s="77" t="s">
        <v>63</v>
      </c>
      <c r="C46" s="73">
        <v>120</v>
      </c>
      <c r="D46" s="89">
        <v>72</v>
      </c>
      <c r="E46" s="73" t="s">
        <v>126</v>
      </c>
      <c r="F46" s="164">
        <v>41598</v>
      </c>
      <c r="G46" s="165">
        <f>75/120</f>
        <v>0.625</v>
      </c>
      <c r="H46" s="32" t="s">
        <v>75</v>
      </c>
      <c r="I46" s="15">
        <v>0</v>
      </c>
      <c r="J46" s="15"/>
      <c r="K46" s="63"/>
      <c r="L46" s="28"/>
      <c r="M46" s="15"/>
      <c r="N46" s="15"/>
      <c r="O46" s="146" t="s">
        <v>167</v>
      </c>
      <c r="P46" s="148">
        <v>41851</v>
      </c>
      <c r="Q46" s="85">
        <v>1723.35</v>
      </c>
      <c r="R46" s="162"/>
      <c r="S46" s="150">
        <v>41914</v>
      </c>
    </row>
    <row r="47" spans="1:19" ht="15.75" thickBot="1" x14ac:dyDescent="0.3">
      <c r="A47" s="24">
        <v>45</v>
      </c>
      <c r="B47" s="169" t="s">
        <v>64</v>
      </c>
      <c r="C47" s="169">
        <v>18</v>
      </c>
      <c r="D47" s="170">
        <v>0</v>
      </c>
      <c r="E47" s="169" t="s">
        <v>146</v>
      </c>
      <c r="F47" s="171">
        <v>42611</v>
      </c>
      <c r="G47" s="30">
        <f>7/18</f>
        <v>0.3888888888888889</v>
      </c>
      <c r="H47" s="34"/>
      <c r="I47" s="35">
        <v>0</v>
      </c>
      <c r="J47" s="35"/>
      <c r="K47" s="81"/>
      <c r="L47" s="34"/>
      <c r="M47" s="35"/>
      <c r="N47" s="35"/>
      <c r="O47" s="10" t="s">
        <v>77</v>
      </c>
      <c r="P47" s="13"/>
      <c r="Q47" s="60"/>
      <c r="R47" s="110"/>
      <c r="S47" s="14"/>
    </row>
    <row r="48" spans="1:19" s="2" customFormat="1" x14ac:dyDescent="0.25">
      <c r="A48" s="48"/>
      <c r="B48" s="49" t="s">
        <v>110</v>
      </c>
      <c r="C48" s="2">
        <f>SUM(C3:C47)</f>
        <v>2141</v>
      </c>
      <c r="D48" s="2">
        <f>SUM(D3:D47)</f>
        <v>202</v>
      </c>
      <c r="E48" s="50"/>
      <c r="F48" s="1"/>
      <c r="G48" s="31">
        <f>COUNTIF(G3:G47,"&gt;50%")</f>
        <v>33</v>
      </c>
      <c r="H48" s="31">
        <f>COUNTIF(H3:H47,"Taip")</f>
        <v>25</v>
      </c>
      <c r="I48" s="31">
        <f>COUNTIF(I3:I47,"&lt;&gt;0")</f>
        <v>24</v>
      </c>
      <c r="J48" s="52">
        <f>SUM(J3:J47)</f>
        <v>27754379.923200004</v>
      </c>
      <c r="K48" s="52">
        <f>SUM(K3:K47)</f>
        <v>8038224.0278035235</v>
      </c>
      <c r="L48" s="47"/>
      <c r="M48" s="47">
        <f>COUNTA(M3:M47)</f>
        <v>20</v>
      </c>
      <c r="N48" s="47">
        <f>COUNTA(N3:N47)</f>
        <v>17</v>
      </c>
      <c r="O48" s="1"/>
    </row>
    <row r="49" spans="1:19" ht="16.5" thickBot="1" x14ac:dyDescent="0.3">
      <c r="A49" s="489" t="s">
        <v>232</v>
      </c>
      <c r="B49" s="489"/>
      <c r="K49" s="47"/>
      <c r="L49" s="47"/>
      <c r="M49" s="47"/>
      <c r="N49" s="47"/>
      <c r="O49" s="1"/>
    </row>
    <row r="50" spans="1:19" ht="48" customHeight="1" thickBot="1" x14ac:dyDescent="0.3">
      <c r="A50" s="36" t="s">
        <v>0</v>
      </c>
      <c r="B50" s="37" t="s">
        <v>1</v>
      </c>
      <c r="C50" s="38" t="s">
        <v>94</v>
      </c>
      <c r="D50" s="53" t="s">
        <v>95</v>
      </c>
      <c r="E50" s="53" t="s">
        <v>102</v>
      </c>
      <c r="F50" s="38" t="s">
        <v>2</v>
      </c>
      <c r="G50" s="53" t="s">
        <v>69</v>
      </c>
      <c r="H50" s="53" t="s">
        <v>3</v>
      </c>
      <c r="I50" s="53" t="s">
        <v>73</v>
      </c>
      <c r="J50" s="53" t="s">
        <v>226</v>
      </c>
      <c r="K50" s="53" t="s">
        <v>225</v>
      </c>
      <c r="L50" s="53" t="s">
        <v>108</v>
      </c>
      <c r="M50" s="53" t="s">
        <v>243</v>
      </c>
      <c r="N50" s="53" t="s">
        <v>389</v>
      </c>
      <c r="O50" s="53" t="s">
        <v>109</v>
      </c>
      <c r="P50" s="53" t="s">
        <v>170</v>
      </c>
      <c r="Q50" s="53" t="s">
        <v>168</v>
      </c>
      <c r="R50" s="53" t="s">
        <v>247</v>
      </c>
      <c r="S50" s="53" t="s">
        <v>169</v>
      </c>
    </row>
    <row r="51" spans="1:19" x14ac:dyDescent="0.25">
      <c r="A51" s="21">
        <v>1</v>
      </c>
      <c r="B51" s="102" t="s">
        <v>4</v>
      </c>
      <c r="C51" s="155">
        <v>45</v>
      </c>
      <c r="D51" s="103">
        <v>0</v>
      </c>
      <c r="E51" s="177" t="s">
        <v>192</v>
      </c>
      <c r="F51" s="140">
        <v>41890</v>
      </c>
      <c r="G51" s="27">
        <f>20/C51</f>
        <v>0.44444444444444442</v>
      </c>
      <c r="H51" s="25"/>
      <c r="I51" s="26"/>
      <c r="J51" s="46"/>
      <c r="K51" s="46"/>
      <c r="L51" s="46"/>
      <c r="M51" s="46"/>
      <c r="N51" s="46"/>
      <c r="O51" s="154" t="s">
        <v>111</v>
      </c>
      <c r="P51" s="172">
        <v>41883</v>
      </c>
      <c r="Q51" s="157">
        <f>35798.88/19</f>
        <v>1884.1515789473683</v>
      </c>
      <c r="R51" s="158"/>
      <c r="S51" s="159">
        <v>41908</v>
      </c>
    </row>
    <row r="52" spans="1:19" x14ac:dyDescent="0.25">
      <c r="A52" s="22">
        <v>2</v>
      </c>
      <c r="B52" s="73" t="s">
        <v>487</v>
      </c>
      <c r="C52" s="146">
        <v>8</v>
      </c>
      <c r="D52" s="73">
        <v>0</v>
      </c>
      <c r="E52" s="177" t="s">
        <v>183</v>
      </c>
      <c r="F52" s="140">
        <v>41900</v>
      </c>
      <c r="G52" s="51" t="s">
        <v>72</v>
      </c>
      <c r="H52" s="28"/>
      <c r="I52" s="15"/>
      <c r="J52" s="15"/>
      <c r="K52" s="15"/>
      <c r="L52" s="46"/>
      <c r="M52" s="46"/>
      <c r="N52" s="46"/>
      <c r="O52" s="154" t="s">
        <v>111</v>
      </c>
      <c r="P52" s="148">
        <v>41883</v>
      </c>
      <c r="Q52" s="149">
        <f t="shared" ref="Q52:Q69" si="0">35798.88/19</f>
        <v>1884.1515789473683</v>
      </c>
      <c r="R52" s="112"/>
      <c r="S52" s="150">
        <v>41908</v>
      </c>
    </row>
    <row r="53" spans="1:19" ht="15" customHeight="1" x14ac:dyDescent="0.25">
      <c r="A53" s="22">
        <v>3</v>
      </c>
      <c r="B53" s="73" t="s">
        <v>5</v>
      </c>
      <c r="C53" s="146">
        <v>6</v>
      </c>
      <c r="D53" s="73">
        <v>3</v>
      </c>
      <c r="E53" s="177" t="s">
        <v>186</v>
      </c>
      <c r="F53" s="140">
        <v>41890</v>
      </c>
      <c r="G53" s="165">
        <f>5/C53</f>
        <v>0.83333333333333337</v>
      </c>
      <c r="H53" s="28" t="s">
        <v>75</v>
      </c>
      <c r="I53" s="15"/>
      <c r="J53" s="15"/>
      <c r="K53" s="15"/>
      <c r="L53" s="46"/>
      <c r="M53" s="46"/>
      <c r="N53" s="46"/>
      <c r="O53" s="154" t="s">
        <v>111</v>
      </c>
      <c r="P53" s="148">
        <v>41883</v>
      </c>
      <c r="Q53" s="149">
        <f t="shared" si="0"/>
        <v>1884.1515789473683</v>
      </c>
      <c r="R53" s="112"/>
      <c r="S53" s="150">
        <v>41908</v>
      </c>
    </row>
    <row r="54" spans="1:19" x14ac:dyDescent="0.25">
      <c r="A54" s="22">
        <v>4</v>
      </c>
      <c r="B54" s="73" t="s">
        <v>6</v>
      </c>
      <c r="C54" s="146">
        <v>60</v>
      </c>
      <c r="D54" s="73">
        <v>2</v>
      </c>
      <c r="E54" s="177" t="s">
        <v>180</v>
      </c>
      <c r="F54" s="140">
        <v>41890</v>
      </c>
      <c r="G54" s="165">
        <f>40/C54</f>
        <v>0.66666666666666663</v>
      </c>
      <c r="H54" s="74" t="s">
        <v>68</v>
      </c>
      <c r="I54" s="146" t="s">
        <v>78</v>
      </c>
      <c r="J54" s="147">
        <f>K54*3.4528</f>
        <v>1655049.4417600001</v>
      </c>
      <c r="K54" s="167">
        <v>479335.45</v>
      </c>
      <c r="L54" s="178">
        <v>42061</v>
      </c>
      <c r="M54" s="178">
        <v>42534</v>
      </c>
      <c r="N54" s="154"/>
      <c r="O54" s="154" t="s">
        <v>111</v>
      </c>
      <c r="P54" s="148">
        <v>41883</v>
      </c>
      <c r="Q54" s="149">
        <f t="shared" si="0"/>
        <v>1884.1515789473683</v>
      </c>
      <c r="R54" s="112"/>
      <c r="S54" s="150">
        <v>41908</v>
      </c>
    </row>
    <row r="55" spans="1:19" ht="15" customHeight="1" x14ac:dyDescent="0.25">
      <c r="A55" s="22">
        <v>5</v>
      </c>
      <c r="B55" s="42" t="s">
        <v>7</v>
      </c>
      <c r="C55" s="279">
        <v>45</v>
      </c>
      <c r="D55" s="42">
        <v>0</v>
      </c>
      <c r="E55" s="340" t="s">
        <v>190</v>
      </c>
      <c r="F55" s="341">
        <v>41890</v>
      </c>
      <c r="G55" s="309">
        <f>33/C55</f>
        <v>0.73333333333333328</v>
      </c>
      <c r="H55" s="280" t="s">
        <v>68</v>
      </c>
      <c r="I55" s="279" t="s">
        <v>228</v>
      </c>
      <c r="J55" s="299">
        <v>1986094.33</v>
      </c>
      <c r="K55" s="338">
        <f>J55/3.4528</f>
        <v>575212.67666821135</v>
      </c>
      <c r="L55" s="342">
        <v>42002</v>
      </c>
      <c r="M55" s="342">
        <v>42396</v>
      </c>
      <c r="N55" s="323" t="s">
        <v>68</v>
      </c>
      <c r="O55" s="323" t="s">
        <v>111</v>
      </c>
      <c r="P55" s="305">
        <v>41883</v>
      </c>
      <c r="Q55" s="292">
        <f t="shared" si="0"/>
        <v>1884.1515789473683</v>
      </c>
      <c r="R55" s="306"/>
      <c r="S55" s="304">
        <v>41908</v>
      </c>
    </row>
    <row r="56" spans="1:19" x14ac:dyDescent="0.25">
      <c r="A56" s="22">
        <v>6</v>
      </c>
      <c r="B56" s="42" t="s">
        <v>8</v>
      </c>
      <c r="C56" s="279">
        <v>60</v>
      </c>
      <c r="D56" s="42">
        <v>1</v>
      </c>
      <c r="E56" s="340" t="s">
        <v>184</v>
      </c>
      <c r="F56" s="341">
        <v>41891</v>
      </c>
      <c r="G56" s="309">
        <f>36/C56</f>
        <v>0.6</v>
      </c>
      <c r="H56" s="280" t="s">
        <v>68</v>
      </c>
      <c r="I56" s="279" t="s">
        <v>78</v>
      </c>
      <c r="J56" s="299">
        <f>K56*3.4528</f>
        <v>1724411.17</v>
      </c>
      <c r="K56" s="338">
        <f>1724411.17/3.4528</f>
        <v>499423.9950185357</v>
      </c>
      <c r="L56" s="342">
        <v>42002</v>
      </c>
      <c r="M56" s="342">
        <v>42402</v>
      </c>
      <c r="N56" s="323" t="s">
        <v>68</v>
      </c>
      <c r="O56" s="323" t="s">
        <v>111</v>
      </c>
      <c r="P56" s="305">
        <v>41883</v>
      </c>
      <c r="Q56" s="292">
        <f t="shared" si="0"/>
        <v>1884.1515789473683</v>
      </c>
      <c r="R56" s="306"/>
      <c r="S56" s="304">
        <v>41908</v>
      </c>
    </row>
    <row r="57" spans="1:19" x14ac:dyDescent="0.25">
      <c r="A57" s="22">
        <v>7</v>
      </c>
      <c r="B57" s="42" t="s">
        <v>9</v>
      </c>
      <c r="C57" s="279">
        <v>50</v>
      </c>
      <c r="D57" s="42">
        <v>4</v>
      </c>
      <c r="E57" s="340" t="s">
        <v>181</v>
      </c>
      <c r="F57" s="341">
        <v>41953</v>
      </c>
      <c r="G57" s="298">
        <f>33/C57</f>
        <v>0.66</v>
      </c>
      <c r="H57" s="279" t="s">
        <v>68</v>
      </c>
      <c r="I57" s="279" t="s">
        <v>224</v>
      </c>
      <c r="J57" s="299">
        <f>K57*3.4528</f>
        <v>1725704.709664</v>
      </c>
      <c r="K57" s="338">
        <v>499798.63</v>
      </c>
      <c r="L57" s="342">
        <v>42034</v>
      </c>
      <c r="M57" s="342">
        <v>42572</v>
      </c>
      <c r="N57" s="323" t="s">
        <v>68</v>
      </c>
      <c r="O57" s="323" t="s">
        <v>111</v>
      </c>
      <c r="P57" s="305">
        <v>41883</v>
      </c>
      <c r="Q57" s="292">
        <f t="shared" si="0"/>
        <v>1884.1515789473683</v>
      </c>
      <c r="R57" s="306"/>
      <c r="S57" s="304">
        <v>41908</v>
      </c>
    </row>
    <row r="58" spans="1:19" x14ac:dyDescent="0.25">
      <c r="A58" s="22">
        <v>8</v>
      </c>
      <c r="B58" s="42" t="s">
        <v>10</v>
      </c>
      <c r="C58" s="279">
        <v>50</v>
      </c>
      <c r="D58" s="42">
        <v>1</v>
      </c>
      <c r="E58" s="340" t="s">
        <v>176</v>
      </c>
      <c r="F58" s="341">
        <v>41891</v>
      </c>
      <c r="G58" s="309">
        <f>31/C58</f>
        <v>0.62</v>
      </c>
      <c r="H58" s="280" t="s">
        <v>68</v>
      </c>
      <c r="I58" s="279" t="s">
        <v>228</v>
      </c>
      <c r="J58" s="299">
        <f>K58*3.4528</f>
        <v>1547000.69</v>
      </c>
      <c r="K58" s="338">
        <f>1547000.69/3.4528</f>
        <v>448042.3685125116</v>
      </c>
      <c r="L58" s="342">
        <v>41995</v>
      </c>
      <c r="M58" s="342">
        <v>42563</v>
      </c>
      <c r="N58" s="323" t="s">
        <v>68</v>
      </c>
      <c r="O58" s="323" t="s">
        <v>111</v>
      </c>
      <c r="P58" s="305">
        <v>41883</v>
      </c>
      <c r="Q58" s="292">
        <f t="shared" si="0"/>
        <v>1884.1515789473683</v>
      </c>
      <c r="R58" s="306"/>
      <c r="S58" s="304">
        <v>41908</v>
      </c>
    </row>
    <row r="59" spans="1:19" x14ac:dyDescent="0.25">
      <c r="A59" s="22">
        <v>9</v>
      </c>
      <c r="B59" s="73" t="s">
        <v>11</v>
      </c>
      <c r="C59" s="146">
        <v>60</v>
      </c>
      <c r="D59" s="73">
        <v>4</v>
      </c>
      <c r="E59" s="177" t="s">
        <v>185</v>
      </c>
      <c r="F59" s="140">
        <v>41892</v>
      </c>
      <c r="G59" s="165">
        <f>36/C59</f>
        <v>0.6</v>
      </c>
      <c r="H59" s="74" t="s">
        <v>68</v>
      </c>
      <c r="I59" s="146" t="s">
        <v>78</v>
      </c>
      <c r="J59" s="147">
        <f>K59*3.4528</f>
        <v>1601316.7955199999</v>
      </c>
      <c r="K59" s="167">
        <v>463773.4</v>
      </c>
      <c r="L59" s="178">
        <v>42058</v>
      </c>
      <c r="M59" s="178">
        <v>42458</v>
      </c>
      <c r="N59" s="154"/>
      <c r="O59" s="154" t="s">
        <v>111</v>
      </c>
      <c r="P59" s="148">
        <v>41883</v>
      </c>
      <c r="Q59" s="149">
        <f t="shared" si="0"/>
        <v>1884.1515789473683</v>
      </c>
      <c r="R59" s="112"/>
      <c r="S59" s="150">
        <v>41908</v>
      </c>
    </row>
    <row r="60" spans="1:19" x14ac:dyDescent="0.25">
      <c r="A60" s="22">
        <v>10</v>
      </c>
      <c r="B60" s="73" t="s">
        <v>484</v>
      </c>
      <c r="C60" s="146">
        <v>20</v>
      </c>
      <c r="D60" s="73">
        <v>0</v>
      </c>
      <c r="E60" s="177" t="s">
        <v>193</v>
      </c>
      <c r="F60" s="140">
        <v>41892</v>
      </c>
      <c r="G60" s="27">
        <f>7/C60</f>
        <v>0.35</v>
      </c>
      <c r="H60" s="28" t="s">
        <v>202</v>
      </c>
      <c r="I60" s="15"/>
      <c r="J60" s="15"/>
      <c r="K60" s="15"/>
      <c r="L60" s="46"/>
      <c r="M60" s="46"/>
      <c r="N60" s="46"/>
      <c r="O60" s="154" t="s">
        <v>111</v>
      </c>
      <c r="P60" s="148">
        <v>41883</v>
      </c>
      <c r="Q60" s="149">
        <f t="shared" si="0"/>
        <v>1884.1515789473683</v>
      </c>
      <c r="R60" s="112"/>
      <c r="S60" s="150">
        <v>41908</v>
      </c>
    </row>
    <row r="61" spans="1:19" x14ac:dyDescent="0.25">
      <c r="A61" s="22">
        <v>11</v>
      </c>
      <c r="B61" s="42" t="s">
        <v>12</v>
      </c>
      <c r="C61" s="279">
        <v>45</v>
      </c>
      <c r="D61" s="42">
        <v>0</v>
      </c>
      <c r="E61" s="340" t="s">
        <v>191</v>
      </c>
      <c r="F61" s="341">
        <v>41912</v>
      </c>
      <c r="G61" s="309">
        <f>29/C61</f>
        <v>0.64444444444444449</v>
      </c>
      <c r="H61" s="280" t="s">
        <v>68</v>
      </c>
      <c r="I61" s="279" t="s">
        <v>174</v>
      </c>
      <c r="J61" s="299">
        <f>K61*3.4528</f>
        <v>1646839.8918399999</v>
      </c>
      <c r="K61" s="338">
        <v>476957.8</v>
      </c>
      <c r="L61" s="342">
        <v>42023</v>
      </c>
      <c r="M61" s="342">
        <v>42573</v>
      </c>
      <c r="N61" s="323" t="s">
        <v>68</v>
      </c>
      <c r="O61" s="323" t="s">
        <v>111</v>
      </c>
      <c r="P61" s="305">
        <v>41883</v>
      </c>
      <c r="Q61" s="292">
        <f t="shared" si="0"/>
        <v>1884.1515789473683</v>
      </c>
      <c r="R61" s="306"/>
      <c r="S61" s="304">
        <v>41908</v>
      </c>
    </row>
    <row r="62" spans="1:19" x14ac:dyDescent="0.25">
      <c r="A62" s="22">
        <v>12</v>
      </c>
      <c r="B62" s="42" t="s">
        <v>13</v>
      </c>
      <c r="C62" s="279">
        <v>8</v>
      </c>
      <c r="D62" s="42">
        <v>0</v>
      </c>
      <c r="E62" s="340" t="s">
        <v>179</v>
      </c>
      <c r="F62" s="341">
        <v>41912</v>
      </c>
      <c r="G62" s="309">
        <v>1</v>
      </c>
      <c r="H62" s="280" t="s">
        <v>68</v>
      </c>
      <c r="I62" s="279" t="s">
        <v>174</v>
      </c>
      <c r="J62" s="299">
        <f>K62*3.4528</f>
        <v>399387.82748799998</v>
      </c>
      <c r="K62" s="338">
        <v>115670.71</v>
      </c>
      <c r="L62" s="342">
        <v>42041</v>
      </c>
      <c r="M62" s="342">
        <v>42404</v>
      </c>
      <c r="N62" s="323" t="s">
        <v>68</v>
      </c>
      <c r="O62" s="323" t="s">
        <v>111</v>
      </c>
      <c r="P62" s="305">
        <v>41883</v>
      </c>
      <c r="Q62" s="292">
        <f t="shared" si="0"/>
        <v>1884.1515789473683</v>
      </c>
      <c r="R62" s="306"/>
      <c r="S62" s="304">
        <v>41908</v>
      </c>
    </row>
    <row r="63" spans="1:19" x14ac:dyDescent="0.25">
      <c r="A63" s="22">
        <v>13</v>
      </c>
      <c r="B63" s="73" t="s">
        <v>14</v>
      </c>
      <c r="C63" s="146">
        <v>60</v>
      </c>
      <c r="D63" s="73">
        <v>2</v>
      </c>
      <c r="E63" s="177" t="s">
        <v>194</v>
      </c>
      <c r="F63" s="140">
        <v>41926</v>
      </c>
      <c r="G63" s="165">
        <f>37/C63</f>
        <v>0.6166666666666667</v>
      </c>
      <c r="H63" s="74" t="s">
        <v>68</v>
      </c>
      <c r="I63" s="146" t="s">
        <v>228</v>
      </c>
      <c r="J63" s="147">
        <f>K63*3.4528</f>
        <v>1556951.3194560001</v>
      </c>
      <c r="K63" s="167">
        <v>450924.27</v>
      </c>
      <c r="L63" s="178">
        <v>42080</v>
      </c>
      <c r="M63" s="75">
        <v>42605</v>
      </c>
      <c r="N63" s="154"/>
      <c r="O63" s="154" t="s">
        <v>111</v>
      </c>
      <c r="P63" s="148">
        <v>41883</v>
      </c>
      <c r="Q63" s="149">
        <f t="shared" si="0"/>
        <v>1884.1515789473683</v>
      </c>
      <c r="R63" s="112"/>
      <c r="S63" s="150">
        <v>41908</v>
      </c>
    </row>
    <row r="64" spans="1:19" x14ac:dyDescent="0.25">
      <c r="A64" s="22">
        <v>14</v>
      </c>
      <c r="B64" s="73" t="s">
        <v>15</v>
      </c>
      <c r="C64" s="146">
        <v>75</v>
      </c>
      <c r="D64" s="73">
        <v>13</v>
      </c>
      <c r="E64" s="177" t="s">
        <v>189</v>
      </c>
      <c r="F64" s="140">
        <v>41898</v>
      </c>
      <c r="G64" s="27">
        <f>17/C64</f>
        <v>0.22666666666666666</v>
      </c>
      <c r="H64" s="28"/>
      <c r="I64" s="15"/>
      <c r="J64" s="15"/>
      <c r="K64" s="15"/>
      <c r="L64" s="46"/>
      <c r="M64" s="46"/>
      <c r="N64" s="46"/>
      <c r="O64" s="154" t="s">
        <v>111</v>
      </c>
      <c r="P64" s="148">
        <v>41883</v>
      </c>
      <c r="Q64" s="149">
        <f t="shared" si="0"/>
        <v>1884.1515789473683</v>
      </c>
      <c r="R64" s="112"/>
      <c r="S64" s="150">
        <v>41908</v>
      </c>
    </row>
    <row r="65" spans="1:19" x14ac:dyDescent="0.25">
      <c r="A65" s="22">
        <v>15</v>
      </c>
      <c r="B65" s="73" t="s">
        <v>16</v>
      </c>
      <c r="C65" s="146">
        <v>50</v>
      </c>
      <c r="D65" s="73">
        <v>1</v>
      </c>
      <c r="E65" s="177" t="s">
        <v>178</v>
      </c>
      <c r="F65" s="140">
        <v>42613</v>
      </c>
      <c r="G65" s="27">
        <f>18/C65</f>
        <v>0.36</v>
      </c>
      <c r="H65" s="28"/>
      <c r="I65" s="15"/>
      <c r="J65" s="15"/>
      <c r="K65" s="15"/>
      <c r="L65" s="46"/>
      <c r="M65" s="46"/>
      <c r="N65" s="46"/>
      <c r="O65" s="154" t="s">
        <v>111</v>
      </c>
      <c r="P65" s="148">
        <v>41883</v>
      </c>
      <c r="Q65" s="149">
        <f t="shared" si="0"/>
        <v>1884.1515789473683</v>
      </c>
      <c r="R65" s="112"/>
      <c r="S65" s="150">
        <v>41908</v>
      </c>
    </row>
    <row r="66" spans="1:19" x14ac:dyDescent="0.25">
      <c r="A66" s="22">
        <v>16</v>
      </c>
      <c r="B66" s="73" t="s">
        <v>17</v>
      </c>
      <c r="C66" s="146">
        <v>54</v>
      </c>
      <c r="D66" s="73">
        <v>1</v>
      </c>
      <c r="E66" s="177" t="s">
        <v>187</v>
      </c>
      <c r="F66" s="140">
        <v>41893</v>
      </c>
      <c r="G66" s="27">
        <f>16/C66</f>
        <v>0.29629629629629628</v>
      </c>
      <c r="H66" s="28"/>
      <c r="I66" s="15"/>
      <c r="J66" s="15"/>
      <c r="K66" s="15"/>
      <c r="L66" s="46"/>
      <c r="M66" s="46"/>
      <c r="N66" s="46"/>
      <c r="O66" s="154" t="s">
        <v>111</v>
      </c>
      <c r="P66" s="148">
        <v>41883</v>
      </c>
      <c r="Q66" s="149">
        <f t="shared" si="0"/>
        <v>1884.1515789473683</v>
      </c>
      <c r="R66" s="112"/>
      <c r="S66" s="150">
        <v>41908</v>
      </c>
    </row>
    <row r="67" spans="1:19" x14ac:dyDescent="0.25">
      <c r="A67" s="22">
        <v>17</v>
      </c>
      <c r="B67" s="73" t="s">
        <v>483</v>
      </c>
      <c r="C67" s="146">
        <v>75</v>
      </c>
      <c r="D67" s="73">
        <v>0</v>
      </c>
      <c r="E67" s="177" t="s">
        <v>188</v>
      </c>
      <c r="F67" s="140">
        <v>41939</v>
      </c>
      <c r="G67" s="145">
        <f>50/C67</f>
        <v>0.66666666666666663</v>
      </c>
      <c r="H67" s="74" t="s">
        <v>68</v>
      </c>
      <c r="I67" s="146" t="s">
        <v>228</v>
      </c>
      <c r="J67" s="147">
        <f>K67*3.4528</f>
        <v>1968156.5621120001</v>
      </c>
      <c r="K67" s="167">
        <v>570017.54</v>
      </c>
      <c r="L67" s="178">
        <v>42076</v>
      </c>
      <c r="M67" s="178">
        <v>42660</v>
      </c>
      <c r="N67" s="154"/>
      <c r="O67" s="154" t="s">
        <v>111</v>
      </c>
      <c r="P67" s="148">
        <v>41883</v>
      </c>
      <c r="Q67" s="149">
        <f t="shared" si="0"/>
        <v>1884.1515789473683</v>
      </c>
      <c r="R67" s="112"/>
      <c r="S67" s="150">
        <v>41908</v>
      </c>
    </row>
    <row r="68" spans="1:19" x14ac:dyDescent="0.25">
      <c r="A68" s="22">
        <v>18</v>
      </c>
      <c r="B68" s="73" t="s">
        <v>18</v>
      </c>
      <c r="C68" s="146">
        <v>80</v>
      </c>
      <c r="D68" s="73">
        <v>2</v>
      </c>
      <c r="E68" s="177" t="s">
        <v>177</v>
      </c>
      <c r="F68" s="140">
        <v>42613</v>
      </c>
      <c r="G68" s="27">
        <f>28/C68</f>
        <v>0.35</v>
      </c>
      <c r="H68" s="28"/>
      <c r="I68" s="15"/>
      <c r="J68" s="15"/>
      <c r="K68" s="15"/>
      <c r="L68" s="46"/>
      <c r="M68" s="46"/>
      <c r="N68" s="46"/>
      <c r="O68" s="154" t="s">
        <v>111</v>
      </c>
      <c r="P68" s="148">
        <v>41883</v>
      </c>
      <c r="Q68" s="149">
        <f t="shared" si="0"/>
        <v>1884.1515789473683</v>
      </c>
      <c r="R68" s="112"/>
      <c r="S68" s="150">
        <v>41908</v>
      </c>
    </row>
    <row r="69" spans="1:19" x14ac:dyDescent="0.25">
      <c r="A69" s="22">
        <v>19</v>
      </c>
      <c r="B69" s="42" t="s">
        <v>19</v>
      </c>
      <c r="C69" s="279">
        <v>60</v>
      </c>
      <c r="D69" s="42">
        <v>3</v>
      </c>
      <c r="E69" s="340" t="s">
        <v>182</v>
      </c>
      <c r="F69" s="341">
        <v>41897</v>
      </c>
      <c r="G69" s="298">
        <f>47/C69</f>
        <v>0.78333333333333333</v>
      </c>
      <c r="H69" s="280" t="s">
        <v>68</v>
      </c>
      <c r="I69" s="279" t="s">
        <v>78</v>
      </c>
      <c r="J69" s="299">
        <f>K69*3.4528</f>
        <v>1491060.49</v>
      </c>
      <c r="K69" s="338">
        <f>1491060.49/3.4528</f>
        <v>431840.96675162186</v>
      </c>
      <c r="L69" s="342">
        <v>42002</v>
      </c>
      <c r="M69" s="342">
        <v>42346</v>
      </c>
      <c r="N69" s="323" t="s">
        <v>68</v>
      </c>
      <c r="O69" s="323" t="s">
        <v>111</v>
      </c>
      <c r="P69" s="305">
        <v>41883</v>
      </c>
      <c r="Q69" s="302">
        <f t="shared" si="0"/>
        <v>1884.1515789473683</v>
      </c>
      <c r="R69" s="303"/>
      <c r="S69" s="304">
        <v>41908</v>
      </c>
    </row>
    <row r="70" spans="1:19" x14ac:dyDescent="0.25">
      <c r="A70" s="22">
        <v>20</v>
      </c>
      <c r="B70" s="42" t="s">
        <v>20</v>
      </c>
      <c r="C70" s="279">
        <v>54</v>
      </c>
      <c r="D70" s="42">
        <v>2</v>
      </c>
      <c r="E70" s="279" t="s">
        <v>153</v>
      </c>
      <c r="F70" s="341">
        <v>41764</v>
      </c>
      <c r="G70" s="298">
        <v>0.63</v>
      </c>
      <c r="H70" s="280" t="s">
        <v>68</v>
      </c>
      <c r="I70" s="279" t="s">
        <v>78</v>
      </c>
      <c r="J70" s="299">
        <f>K70*3.4528</f>
        <v>1478396.02</v>
      </c>
      <c r="K70" s="338">
        <f>1478396.02/3.4528</f>
        <v>428173.08271547733</v>
      </c>
      <c r="L70" s="300">
        <v>41862</v>
      </c>
      <c r="M70" s="300">
        <v>42396</v>
      </c>
      <c r="N70" s="323" t="s">
        <v>68</v>
      </c>
      <c r="O70" s="279" t="s">
        <v>167</v>
      </c>
      <c r="P70" s="305">
        <v>41865</v>
      </c>
      <c r="Q70" s="292">
        <v>1827.1</v>
      </c>
      <c r="R70" s="306"/>
      <c r="S70" s="304">
        <v>41914</v>
      </c>
    </row>
    <row r="71" spans="1:19" x14ac:dyDescent="0.25">
      <c r="A71" s="22">
        <v>21</v>
      </c>
      <c r="B71" s="73" t="s">
        <v>1113</v>
      </c>
      <c r="C71" s="146">
        <v>53</v>
      </c>
      <c r="D71" s="73">
        <v>0</v>
      </c>
      <c r="E71" s="146" t="s">
        <v>124</v>
      </c>
      <c r="F71" s="140">
        <v>41765</v>
      </c>
      <c r="G71" s="145">
        <f>36/53</f>
        <v>0.67924528301886788</v>
      </c>
      <c r="H71" s="74" t="s">
        <v>68</v>
      </c>
      <c r="I71" s="73" t="s">
        <v>96</v>
      </c>
      <c r="J71" s="147">
        <v>1277722.56</v>
      </c>
      <c r="K71" s="167">
        <v>370054.03</v>
      </c>
      <c r="L71" s="75">
        <v>42166</v>
      </c>
      <c r="M71" s="75">
        <v>42661</v>
      </c>
      <c r="N71" s="146"/>
      <c r="O71" s="146" t="s">
        <v>167</v>
      </c>
      <c r="P71" s="148">
        <v>41865</v>
      </c>
      <c r="Q71" s="149">
        <v>1827.1</v>
      </c>
      <c r="S71" s="150">
        <v>41914</v>
      </c>
    </row>
    <row r="72" spans="1:19" x14ac:dyDescent="0.25">
      <c r="A72" s="22">
        <v>22</v>
      </c>
      <c r="B72" s="73" t="s">
        <v>65</v>
      </c>
      <c r="C72" s="146">
        <v>20</v>
      </c>
      <c r="D72" s="73">
        <v>0</v>
      </c>
      <c r="E72" s="146" t="s">
        <v>163</v>
      </c>
      <c r="F72" s="140">
        <v>41583</v>
      </c>
      <c r="G72" s="145">
        <f>SUM(12/20)</f>
        <v>0.6</v>
      </c>
      <c r="H72" s="74" t="s">
        <v>68</v>
      </c>
      <c r="I72" s="73" t="s">
        <v>99</v>
      </c>
      <c r="J72" s="147">
        <f>K72*3.4528</f>
        <v>589513.03</v>
      </c>
      <c r="K72" s="167">
        <f>589513.03/3.4528</f>
        <v>170734.77467562558</v>
      </c>
      <c r="L72" s="75">
        <v>41775</v>
      </c>
      <c r="M72" s="75">
        <v>42618</v>
      </c>
      <c r="N72" s="146"/>
      <c r="O72" s="146" t="s">
        <v>167</v>
      </c>
      <c r="P72" s="148">
        <v>42430</v>
      </c>
      <c r="Q72" s="149">
        <f>R72*3.4528</f>
        <v>818.00284799999997</v>
      </c>
      <c r="R72" s="162">
        <v>236.91</v>
      </c>
      <c r="S72" s="150">
        <v>42467</v>
      </c>
    </row>
    <row r="73" spans="1:19" x14ac:dyDescent="0.25">
      <c r="A73" s="22">
        <v>23</v>
      </c>
      <c r="B73" s="73" t="s">
        <v>66</v>
      </c>
      <c r="C73" s="146">
        <v>8</v>
      </c>
      <c r="D73" s="73">
        <v>0</v>
      </c>
      <c r="E73" s="146" t="s">
        <v>171</v>
      </c>
      <c r="F73" s="140">
        <v>41583</v>
      </c>
      <c r="G73" s="145">
        <f>SUM(8/8)</f>
        <v>1</v>
      </c>
      <c r="H73" s="74" t="s">
        <v>68</v>
      </c>
      <c r="I73" s="15"/>
      <c r="J73" s="15" t="s">
        <v>76</v>
      </c>
      <c r="K73" s="15"/>
      <c r="L73" s="15"/>
      <c r="M73" s="15"/>
      <c r="N73" s="15"/>
      <c r="O73" s="146" t="s">
        <v>77</v>
      </c>
      <c r="P73" s="148">
        <v>42270</v>
      </c>
      <c r="Q73" s="85">
        <f>R73*3.4528</f>
        <v>1258.4074879999998</v>
      </c>
      <c r="R73" s="162">
        <v>364.46</v>
      </c>
      <c r="S73" s="150"/>
    </row>
    <row r="74" spans="1:19" x14ac:dyDescent="0.25">
      <c r="A74" s="22">
        <v>24</v>
      </c>
      <c r="B74" s="73" t="s">
        <v>67</v>
      </c>
      <c r="C74" s="146">
        <v>4</v>
      </c>
      <c r="D74" s="73">
        <v>0</v>
      </c>
      <c r="E74" s="146" t="s">
        <v>172</v>
      </c>
      <c r="F74" s="140">
        <v>41583</v>
      </c>
      <c r="G74" s="145">
        <f>SUM(4/4)</f>
        <v>1</v>
      </c>
      <c r="H74" s="74" t="s">
        <v>68</v>
      </c>
      <c r="I74" s="15"/>
      <c r="J74" s="15" t="s">
        <v>76</v>
      </c>
      <c r="K74" s="15"/>
      <c r="L74" s="15"/>
      <c r="M74" s="15"/>
      <c r="N74" s="15"/>
      <c r="O74" s="146" t="s">
        <v>77</v>
      </c>
      <c r="P74" s="148">
        <v>42270</v>
      </c>
      <c r="Q74" s="85">
        <f>R74*3.4528</f>
        <v>1258.4074879999998</v>
      </c>
      <c r="R74" s="162">
        <v>364.46</v>
      </c>
      <c r="S74" s="161"/>
    </row>
    <row r="75" spans="1:19" x14ac:dyDescent="0.25">
      <c r="A75" s="22">
        <v>25</v>
      </c>
      <c r="B75" s="73" t="s">
        <v>21</v>
      </c>
      <c r="C75" s="146">
        <v>36</v>
      </c>
      <c r="D75" s="73">
        <v>0</v>
      </c>
      <c r="E75" s="146" t="s">
        <v>113</v>
      </c>
      <c r="F75" s="140">
        <v>41820</v>
      </c>
      <c r="G75" s="51" t="s">
        <v>72</v>
      </c>
      <c r="H75" s="28"/>
      <c r="I75" s="15"/>
      <c r="J75" s="15"/>
      <c r="K75" s="15"/>
      <c r="L75" s="15"/>
      <c r="M75" s="15"/>
      <c r="N75" s="15"/>
      <c r="O75" s="146" t="s">
        <v>77</v>
      </c>
      <c r="P75" s="160"/>
      <c r="Q75" s="85"/>
      <c r="R75" s="162"/>
      <c r="S75" s="161"/>
    </row>
    <row r="76" spans="1:19" x14ac:dyDescent="0.25">
      <c r="A76" s="22">
        <v>26</v>
      </c>
      <c r="B76" s="42" t="s">
        <v>22</v>
      </c>
      <c r="C76" s="279">
        <v>75</v>
      </c>
      <c r="D76" s="42">
        <v>2</v>
      </c>
      <c r="E76" s="279" t="s">
        <v>151</v>
      </c>
      <c r="F76" s="341">
        <v>41764</v>
      </c>
      <c r="G76" s="298">
        <f>47/75</f>
        <v>0.62666666666666671</v>
      </c>
      <c r="H76" s="280" t="s">
        <v>68</v>
      </c>
      <c r="I76" s="279" t="s">
        <v>228</v>
      </c>
      <c r="J76" s="299">
        <v>1878047.32</v>
      </c>
      <c r="K76" s="338">
        <f>J76/3.4528</f>
        <v>543920.09962928644</v>
      </c>
      <c r="L76" s="300">
        <v>41848</v>
      </c>
      <c r="M76" s="300">
        <v>42361</v>
      </c>
      <c r="N76" s="279" t="s">
        <v>68</v>
      </c>
      <c r="O76" s="279" t="s">
        <v>167</v>
      </c>
      <c r="P76" s="305">
        <v>41865</v>
      </c>
      <c r="Q76" s="292">
        <v>1827.1</v>
      </c>
      <c r="R76" s="306"/>
      <c r="S76" s="304">
        <v>41914</v>
      </c>
    </row>
    <row r="77" spans="1:19" ht="15.75" thickBot="1" x14ac:dyDescent="0.3">
      <c r="A77" s="39">
        <v>27</v>
      </c>
      <c r="B77" s="43" t="s">
        <v>23</v>
      </c>
      <c r="C77" s="282">
        <v>30</v>
      </c>
      <c r="D77" s="43">
        <v>0</v>
      </c>
      <c r="E77" s="282" t="s">
        <v>148</v>
      </c>
      <c r="F77" s="312">
        <v>41765</v>
      </c>
      <c r="G77" s="313">
        <f>19/30</f>
        <v>0.6333333333333333</v>
      </c>
      <c r="H77" s="283" t="s">
        <v>68</v>
      </c>
      <c r="I77" s="314" t="s">
        <v>174</v>
      </c>
      <c r="J77" s="314">
        <f>K77*3.4528</f>
        <v>771145.1</v>
      </c>
      <c r="K77" s="314">
        <f>771145.1/3.4528</f>
        <v>223339.05815569972</v>
      </c>
      <c r="L77" s="315">
        <v>41862</v>
      </c>
      <c r="M77" s="315">
        <v>42283</v>
      </c>
      <c r="N77" s="315" t="s">
        <v>68</v>
      </c>
      <c r="O77" s="282" t="s">
        <v>167</v>
      </c>
      <c r="P77" s="316">
        <v>41865</v>
      </c>
      <c r="Q77" s="317">
        <v>1827.1</v>
      </c>
      <c r="R77" s="318"/>
      <c r="S77" s="319">
        <v>41914</v>
      </c>
    </row>
    <row r="78" spans="1:19" s="33" customFormat="1" x14ac:dyDescent="0.25">
      <c r="A78" s="48"/>
      <c r="B78" s="49" t="s">
        <v>110</v>
      </c>
      <c r="C78" s="33">
        <f>SUM(C51:C77)</f>
        <v>1191</v>
      </c>
      <c r="D78" s="33">
        <f>SUM(D51:D77)</f>
        <v>41</v>
      </c>
      <c r="E78" s="47"/>
      <c r="F78" s="54"/>
      <c r="G78" s="47">
        <f>COUNTIF(G51:G77,"&gt;0,5")</f>
        <v>19</v>
      </c>
      <c r="H78" s="47">
        <f>COUNTIF(H51:H77,"Taip")</f>
        <v>18</v>
      </c>
      <c r="I78" s="47">
        <f>COUNTA(I51:I77)</f>
        <v>16</v>
      </c>
      <c r="J78" s="52">
        <f>SUM(J51:J77)</f>
        <v>23296797.25784</v>
      </c>
      <c r="K78" s="52">
        <f>SUM(K51:K77)</f>
        <v>6747218.85212697</v>
      </c>
      <c r="L78" s="47"/>
      <c r="M78" s="47">
        <f>COUNTA(M51:M77)</f>
        <v>16</v>
      </c>
      <c r="N78" s="47">
        <f>COUNTA(N51:N77)</f>
        <v>10</v>
      </c>
      <c r="O78" s="47"/>
    </row>
    <row r="79" spans="1:19" ht="16.5" thickBot="1" x14ac:dyDescent="0.3">
      <c r="A79" s="490" t="s">
        <v>233</v>
      </c>
      <c r="B79" s="490"/>
    </row>
    <row r="80" spans="1:19" ht="44.25" customHeight="1" thickBot="1" x14ac:dyDescent="0.3">
      <c r="A80" s="36" t="s">
        <v>0</v>
      </c>
      <c r="B80" s="37" t="s">
        <v>1</v>
      </c>
      <c r="C80" s="53" t="s">
        <v>94</v>
      </c>
      <c r="D80" s="53" t="s">
        <v>95</v>
      </c>
      <c r="E80" s="53" t="s">
        <v>102</v>
      </c>
      <c r="F80" s="40" t="s">
        <v>2</v>
      </c>
      <c r="G80" s="53" t="s">
        <v>69</v>
      </c>
      <c r="H80" s="53" t="s">
        <v>3</v>
      </c>
      <c r="I80" s="53" t="s">
        <v>73</v>
      </c>
      <c r="J80" s="53" t="s">
        <v>226</v>
      </c>
      <c r="K80" s="53" t="s">
        <v>225</v>
      </c>
      <c r="L80" s="53" t="s">
        <v>108</v>
      </c>
      <c r="M80" s="53" t="s">
        <v>243</v>
      </c>
      <c r="N80" s="53" t="s">
        <v>389</v>
      </c>
      <c r="O80" s="19" t="s">
        <v>74</v>
      </c>
      <c r="P80" s="20" t="s">
        <v>170</v>
      </c>
      <c r="Q80" s="113" t="s">
        <v>223</v>
      </c>
      <c r="R80" s="53" t="s">
        <v>247</v>
      </c>
      <c r="S80" s="20" t="s">
        <v>169</v>
      </c>
    </row>
    <row r="81" spans="1:19" x14ac:dyDescent="0.25">
      <c r="A81" s="41">
        <v>1</v>
      </c>
      <c r="B81" s="103" t="s">
        <v>70</v>
      </c>
      <c r="C81" s="155">
        <v>75</v>
      </c>
      <c r="D81" s="103">
        <v>1</v>
      </c>
      <c r="E81" s="192" t="s">
        <v>198</v>
      </c>
      <c r="F81" s="193">
        <v>42618</v>
      </c>
      <c r="G81" s="68">
        <f>16/C81</f>
        <v>0.21333333333333335</v>
      </c>
      <c r="H81" s="70"/>
      <c r="I81" s="325"/>
      <c r="J81" s="71"/>
      <c r="K81" s="70"/>
      <c r="L81" s="72"/>
      <c r="M81" s="72"/>
      <c r="N81" s="72"/>
      <c r="O81" s="103" t="s">
        <v>77</v>
      </c>
      <c r="P81" s="183"/>
      <c r="Q81" s="184"/>
      <c r="R81" s="185"/>
      <c r="S81" s="186"/>
    </row>
    <row r="82" spans="1:19" x14ac:dyDescent="0.25">
      <c r="A82" s="42">
        <v>2</v>
      </c>
      <c r="B82" s="42" t="s">
        <v>71</v>
      </c>
      <c r="C82" s="279">
        <v>48</v>
      </c>
      <c r="D82" s="42">
        <v>0</v>
      </c>
      <c r="E82" s="351" t="s">
        <v>195</v>
      </c>
      <c r="F82" s="300">
        <v>41905</v>
      </c>
      <c r="G82" s="352">
        <f>27/C82</f>
        <v>0.5625</v>
      </c>
      <c r="H82" s="280" t="s">
        <v>68</v>
      </c>
      <c r="I82" s="279" t="s">
        <v>96</v>
      </c>
      <c r="J82" s="299">
        <f>K82*3.4528</f>
        <v>1331488.8400000001</v>
      </c>
      <c r="K82" s="353">
        <f>1331488.84/3.4528</f>
        <v>385625.82252085267</v>
      </c>
      <c r="L82" s="341">
        <v>41995</v>
      </c>
      <c r="M82" s="341">
        <v>42361</v>
      </c>
      <c r="N82" s="323" t="s">
        <v>68</v>
      </c>
      <c r="O82" s="42" t="s">
        <v>167</v>
      </c>
      <c r="P82" s="305">
        <v>41956</v>
      </c>
      <c r="Q82" s="127">
        <v>1881.01</v>
      </c>
      <c r="R82" s="306">
        <f>Q82/3.4528</f>
        <v>544.77815106580169</v>
      </c>
      <c r="S82" s="304">
        <v>42034</v>
      </c>
    </row>
    <row r="83" spans="1:19" x14ac:dyDescent="0.25">
      <c r="A83" s="42">
        <v>3</v>
      </c>
      <c r="B83" s="73" t="s">
        <v>203</v>
      </c>
      <c r="C83" s="146">
        <v>45</v>
      </c>
      <c r="D83" s="73">
        <v>0</v>
      </c>
      <c r="E83" s="192" t="s">
        <v>165</v>
      </c>
      <c r="F83" s="75">
        <v>42614</v>
      </c>
      <c r="G83" s="62">
        <f>22/C83</f>
        <v>0.48888888888888887</v>
      </c>
      <c r="H83" s="28"/>
      <c r="I83" s="15"/>
      <c r="J83" s="63"/>
      <c r="K83" s="28"/>
      <c r="L83" s="63"/>
      <c r="M83" s="63"/>
      <c r="N83" s="63"/>
      <c r="O83" s="73" t="s">
        <v>77</v>
      </c>
      <c r="P83" s="148"/>
      <c r="Q83" s="85"/>
      <c r="R83" s="112"/>
      <c r="S83" s="161"/>
    </row>
    <row r="84" spans="1:19" x14ac:dyDescent="0.25">
      <c r="A84" s="42">
        <v>4</v>
      </c>
      <c r="B84" s="73" t="s">
        <v>79</v>
      </c>
      <c r="C84" s="146">
        <v>45</v>
      </c>
      <c r="D84" s="73">
        <v>4</v>
      </c>
      <c r="E84" s="146" t="s">
        <v>161</v>
      </c>
      <c r="F84" s="75">
        <v>42327</v>
      </c>
      <c r="G84" s="188">
        <f>36/C84</f>
        <v>0.8</v>
      </c>
      <c r="H84" s="74" t="s">
        <v>68</v>
      </c>
      <c r="I84" s="146" t="s">
        <v>384</v>
      </c>
      <c r="J84" s="147">
        <f t="shared" ref="J84:J89" si="1">K84*3.4528</f>
        <v>933423.73696000001</v>
      </c>
      <c r="K84" s="189">
        <v>270338.2</v>
      </c>
      <c r="L84" s="140">
        <v>42269</v>
      </c>
      <c r="M84" s="73"/>
      <c r="N84" s="73"/>
      <c r="O84" s="73" t="s">
        <v>167</v>
      </c>
      <c r="P84" s="148">
        <v>41956</v>
      </c>
      <c r="Q84" s="85">
        <v>1881.01</v>
      </c>
      <c r="R84" s="112">
        <f>Q84/3.4528</f>
        <v>544.77815106580169</v>
      </c>
      <c r="S84" s="150">
        <v>42037</v>
      </c>
    </row>
    <row r="85" spans="1:19" x14ac:dyDescent="0.25">
      <c r="A85" s="42">
        <v>5</v>
      </c>
      <c r="B85" s="73" t="s">
        <v>87</v>
      </c>
      <c r="C85" s="146">
        <v>45</v>
      </c>
      <c r="D85" s="73">
        <v>1</v>
      </c>
      <c r="E85" s="192" t="s">
        <v>204</v>
      </c>
      <c r="F85" s="75">
        <v>41969</v>
      </c>
      <c r="G85" s="188">
        <f>25/C85</f>
        <v>0.55555555555555558</v>
      </c>
      <c r="H85" s="74" t="s">
        <v>68</v>
      </c>
      <c r="I85" s="146" t="s">
        <v>96</v>
      </c>
      <c r="J85" s="147">
        <f t="shared" si="1"/>
        <v>1096706.1310399999</v>
      </c>
      <c r="K85" s="189">
        <v>317628.05</v>
      </c>
      <c r="L85" s="190">
        <v>42087</v>
      </c>
      <c r="M85" s="190">
        <v>42607</v>
      </c>
      <c r="N85" s="102"/>
      <c r="O85" s="73" t="s">
        <v>167</v>
      </c>
      <c r="P85" s="148">
        <v>41991</v>
      </c>
      <c r="Q85" s="85">
        <v>1879.11</v>
      </c>
      <c r="R85" s="112">
        <f>Q85/3.4528</f>
        <v>544.22787303058385</v>
      </c>
      <c r="S85" s="150">
        <v>42132</v>
      </c>
    </row>
    <row r="86" spans="1:19" x14ac:dyDescent="0.25">
      <c r="A86" s="42">
        <v>6</v>
      </c>
      <c r="B86" s="73" t="s">
        <v>80</v>
      </c>
      <c r="C86" s="146">
        <v>30</v>
      </c>
      <c r="D86" s="73">
        <v>0</v>
      </c>
      <c r="E86" s="192" t="s">
        <v>196</v>
      </c>
      <c r="F86" s="75">
        <v>41905</v>
      </c>
      <c r="G86" s="188">
        <f>20/C86</f>
        <v>0.66666666666666663</v>
      </c>
      <c r="H86" s="74" t="s">
        <v>68</v>
      </c>
      <c r="I86" s="146" t="s">
        <v>382</v>
      </c>
      <c r="J86" s="147">
        <f t="shared" si="1"/>
        <v>668712.75327999995</v>
      </c>
      <c r="K86" s="189">
        <v>193672.6</v>
      </c>
      <c r="L86" s="140">
        <v>42264</v>
      </c>
      <c r="M86" s="73"/>
      <c r="N86" s="73"/>
      <c r="O86" s="73" t="s">
        <v>167</v>
      </c>
      <c r="P86" s="148">
        <v>41956</v>
      </c>
      <c r="Q86" s="85">
        <v>1880.99</v>
      </c>
      <c r="R86" s="112">
        <f>Q86/3.4528</f>
        <v>544.77235866543094</v>
      </c>
      <c r="S86" s="150">
        <v>42034</v>
      </c>
    </row>
    <row r="87" spans="1:19" x14ac:dyDescent="0.25">
      <c r="A87" s="42">
        <v>7</v>
      </c>
      <c r="B87" s="73" t="s">
        <v>81</v>
      </c>
      <c r="C87" s="146">
        <v>75</v>
      </c>
      <c r="D87" s="73">
        <v>1</v>
      </c>
      <c r="E87" s="192" t="s">
        <v>200</v>
      </c>
      <c r="F87" s="75">
        <v>41906</v>
      </c>
      <c r="G87" s="188">
        <f>46/C87</f>
        <v>0.61333333333333329</v>
      </c>
      <c r="H87" s="74" t="s">
        <v>68</v>
      </c>
      <c r="I87" s="146" t="s">
        <v>96</v>
      </c>
      <c r="J87" s="147">
        <f t="shared" si="1"/>
        <v>2011245.0891519999</v>
      </c>
      <c r="K87" s="189">
        <v>582496.84</v>
      </c>
      <c r="L87" s="140">
        <v>42026</v>
      </c>
      <c r="M87" s="140">
        <v>42573</v>
      </c>
      <c r="N87" s="73"/>
      <c r="O87" s="73" t="s">
        <v>167</v>
      </c>
      <c r="P87" s="148">
        <v>41956</v>
      </c>
      <c r="Q87" s="85">
        <v>1880.99</v>
      </c>
      <c r="R87" s="85">
        <v>544.77</v>
      </c>
      <c r="S87" s="150">
        <v>42034</v>
      </c>
    </row>
    <row r="88" spans="1:19" x14ac:dyDescent="0.25">
      <c r="A88" s="42">
        <v>8</v>
      </c>
      <c r="B88" s="73" t="s">
        <v>82</v>
      </c>
      <c r="C88" s="146">
        <v>45</v>
      </c>
      <c r="D88" s="73">
        <v>0</v>
      </c>
      <c r="E88" s="146" t="s">
        <v>164</v>
      </c>
      <c r="F88" s="75">
        <v>42431</v>
      </c>
      <c r="G88" s="188">
        <f>31/45</f>
        <v>0.68888888888888888</v>
      </c>
      <c r="H88" s="74" t="s">
        <v>68</v>
      </c>
      <c r="I88" s="146" t="s">
        <v>96</v>
      </c>
      <c r="J88" s="147">
        <f t="shared" si="1"/>
        <v>956995.38105600001</v>
      </c>
      <c r="K88" s="189">
        <v>277165.02</v>
      </c>
      <c r="L88" s="140">
        <v>42513</v>
      </c>
      <c r="M88" s="73"/>
      <c r="N88" s="73"/>
      <c r="O88" s="73" t="s">
        <v>167</v>
      </c>
      <c r="P88" s="148">
        <v>42464</v>
      </c>
      <c r="Q88" s="149">
        <f>R88*3.4528</f>
        <v>1880.9818559999999</v>
      </c>
      <c r="R88" s="33">
        <v>544.77</v>
      </c>
      <c r="S88" s="150">
        <v>42515</v>
      </c>
    </row>
    <row r="89" spans="1:19" x14ac:dyDescent="0.25">
      <c r="A89" s="42">
        <v>9</v>
      </c>
      <c r="B89" s="73" t="s">
        <v>83</v>
      </c>
      <c r="C89" s="146">
        <v>45</v>
      </c>
      <c r="D89" s="73">
        <v>3</v>
      </c>
      <c r="E89" s="146" t="s">
        <v>162</v>
      </c>
      <c r="F89" s="75">
        <v>41857</v>
      </c>
      <c r="G89" s="188">
        <f>29/C89</f>
        <v>0.64444444444444449</v>
      </c>
      <c r="H89" s="74" t="s">
        <v>68</v>
      </c>
      <c r="I89" s="146" t="s">
        <v>174</v>
      </c>
      <c r="J89" s="147">
        <f t="shared" si="1"/>
        <v>1100517.5388479999</v>
      </c>
      <c r="K89" s="189">
        <v>318731.90999999997</v>
      </c>
      <c r="L89" s="140">
        <v>42046</v>
      </c>
      <c r="M89" s="140">
        <v>42647</v>
      </c>
      <c r="N89" s="73"/>
      <c r="O89" s="73" t="s">
        <v>167</v>
      </c>
      <c r="P89" s="148">
        <v>41956</v>
      </c>
      <c r="Q89" s="85">
        <v>1881.01</v>
      </c>
      <c r="R89" s="85">
        <v>544.78</v>
      </c>
      <c r="S89" s="150">
        <v>42135</v>
      </c>
    </row>
    <row r="90" spans="1:19" s="2" customFormat="1" x14ac:dyDescent="0.25">
      <c r="A90" s="42">
        <v>10</v>
      </c>
      <c r="B90" s="73" t="s">
        <v>84</v>
      </c>
      <c r="C90" s="146">
        <v>54</v>
      </c>
      <c r="D90" s="73">
        <v>0</v>
      </c>
      <c r="E90" s="192" t="s">
        <v>205</v>
      </c>
      <c r="F90" s="194">
        <v>42619</v>
      </c>
      <c r="G90" s="62">
        <f>19/C90</f>
        <v>0.35185185185185186</v>
      </c>
      <c r="H90" s="32"/>
      <c r="I90" s="326"/>
      <c r="J90" s="66"/>
      <c r="K90" s="32"/>
      <c r="L90" s="66"/>
      <c r="M90" s="66"/>
      <c r="N90" s="66"/>
      <c r="O90" s="73" t="s">
        <v>77</v>
      </c>
      <c r="P90" s="160"/>
      <c r="Q90" s="85"/>
      <c r="R90" s="162"/>
      <c r="S90" s="161"/>
    </row>
    <row r="91" spans="1:19" s="2" customFormat="1" x14ac:dyDescent="0.25">
      <c r="A91" s="42">
        <v>11</v>
      </c>
      <c r="B91" s="73" t="s">
        <v>85</v>
      </c>
      <c r="C91" s="146">
        <v>45</v>
      </c>
      <c r="D91" s="73">
        <v>0</v>
      </c>
      <c r="E91" s="146" t="s">
        <v>160</v>
      </c>
      <c r="F91" s="194">
        <v>42039</v>
      </c>
      <c r="G91" s="188">
        <f>27/C91</f>
        <v>0.6</v>
      </c>
      <c r="H91" s="166" t="s">
        <v>68</v>
      </c>
      <c r="I91" s="146" t="s">
        <v>235</v>
      </c>
      <c r="J91" s="147">
        <f>K91*3.4528</f>
        <v>1359735.4284799998</v>
      </c>
      <c r="K91" s="189">
        <v>393806.6</v>
      </c>
      <c r="L91" s="191">
        <v>42136</v>
      </c>
      <c r="M91" s="191">
        <v>42669</v>
      </c>
      <c r="N91" s="77"/>
      <c r="O91" s="73" t="s">
        <v>167</v>
      </c>
      <c r="P91" s="148">
        <v>42270</v>
      </c>
      <c r="Q91" s="149">
        <f>R91*3.4528</f>
        <v>1880.9818559999999</v>
      </c>
      <c r="R91" s="162">
        <v>544.77</v>
      </c>
      <c r="S91" s="150">
        <v>42346</v>
      </c>
    </row>
    <row r="92" spans="1:19" s="2" customFormat="1" x14ac:dyDescent="0.25">
      <c r="A92" s="42">
        <v>12</v>
      </c>
      <c r="B92" s="73" t="s">
        <v>86</v>
      </c>
      <c r="C92" s="146">
        <v>60</v>
      </c>
      <c r="D92" s="73">
        <v>4</v>
      </c>
      <c r="E92" s="192" t="s">
        <v>207</v>
      </c>
      <c r="F92" s="194">
        <v>42046</v>
      </c>
      <c r="G92" s="188">
        <f>35/C92</f>
        <v>0.58333333333333337</v>
      </c>
      <c r="H92" s="166" t="s">
        <v>68</v>
      </c>
      <c r="I92" s="146" t="s">
        <v>235</v>
      </c>
      <c r="J92" s="147">
        <f>K92*3.4528</f>
        <v>1571533.4606399999</v>
      </c>
      <c r="K92" s="189">
        <v>455147.55</v>
      </c>
      <c r="L92" s="191">
        <v>42209</v>
      </c>
      <c r="M92" s="77"/>
      <c r="N92" s="77"/>
      <c r="O92" s="73" t="s">
        <v>167</v>
      </c>
      <c r="P92" s="148">
        <v>42270</v>
      </c>
      <c r="Q92" s="149">
        <f>R92*3.4528</f>
        <v>1879.0828160000001</v>
      </c>
      <c r="R92" s="162">
        <v>544.22</v>
      </c>
      <c r="S92" s="150">
        <v>42346</v>
      </c>
    </row>
    <row r="93" spans="1:19" s="2" customFormat="1" x14ac:dyDescent="0.25">
      <c r="A93" s="42">
        <v>13</v>
      </c>
      <c r="B93" s="73" t="s">
        <v>88</v>
      </c>
      <c r="C93" s="146">
        <v>40</v>
      </c>
      <c r="D93" s="73">
        <v>7</v>
      </c>
      <c r="E93" s="192" t="s">
        <v>201</v>
      </c>
      <c r="F93" s="194">
        <v>41907</v>
      </c>
      <c r="G93" s="188">
        <f>24/C93</f>
        <v>0.6</v>
      </c>
      <c r="H93" s="166" t="s">
        <v>68</v>
      </c>
      <c r="I93" s="200" t="s">
        <v>230</v>
      </c>
      <c r="J93" s="147">
        <f>K93*3.4528</f>
        <v>1397231.9042239999</v>
      </c>
      <c r="K93" s="189">
        <v>404666.33</v>
      </c>
      <c r="L93" s="191">
        <v>42090</v>
      </c>
      <c r="M93" s="191">
        <v>42585</v>
      </c>
      <c r="N93" s="77"/>
      <c r="O93" s="73" t="s">
        <v>167</v>
      </c>
      <c r="P93" s="148">
        <v>41956</v>
      </c>
      <c r="Q93" s="85">
        <v>1880.99</v>
      </c>
      <c r="R93" s="112">
        <f>Q93/3.4528</f>
        <v>544.77235866543094</v>
      </c>
      <c r="S93" s="150">
        <v>42034</v>
      </c>
    </row>
    <row r="94" spans="1:19" s="2" customFormat="1" x14ac:dyDescent="0.25">
      <c r="A94" s="42">
        <v>14</v>
      </c>
      <c r="B94" s="73" t="s">
        <v>89</v>
      </c>
      <c r="C94" s="146">
        <v>54</v>
      </c>
      <c r="D94" s="73">
        <v>0</v>
      </c>
      <c r="E94" s="192" t="s">
        <v>197</v>
      </c>
      <c r="F94" s="194">
        <v>42618</v>
      </c>
      <c r="G94" s="62">
        <f>12/C94</f>
        <v>0.22222222222222221</v>
      </c>
      <c r="H94" s="32"/>
      <c r="I94" s="326"/>
      <c r="J94" s="66"/>
      <c r="K94" s="32"/>
      <c r="L94" s="66"/>
      <c r="M94" s="66"/>
      <c r="N94" s="66"/>
      <c r="O94" s="73" t="s">
        <v>77</v>
      </c>
      <c r="P94" s="160"/>
      <c r="Q94" s="85"/>
      <c r="R94" s="162"/>
      <c r="S94" s="161"/>
    </row>
    <row r="95" spans="1:19" s="2" customFormat="1" x14ac:dyDescent="0.25">
      <c r="A95" s="42">
        <v>15</v>
      </c>
      <c r="B95" s="73" t="s">
        <v>90</v>
      </c>
      <c r="C95" s="146">
        <v>75</v>
      </c>
      <c r="D95" s="73">
        <v>2</v>
      </c>
      <c r="E95" s="192" t="s">
        <v>206</v>
      </c>
      <c r="F95" s="194">
        <v>42619</v>
      </c>
      <c r="G95" s="62">
        <f>29/C95</f>
        <v>0.38666666666666666</v>
      </c>
      <c r="H95" s="32"/>
      <c r="I95" s="326"/>
      <c r="J95" s="66"/>
      <c r="K95" s="32"/>
      <c r="L95" s="66"/>
      <c r="M95" s="66"/>
      <c r="N95" s="66"/>
      <c r="O95" s="73" t="s">
        <v>77</v>
      </c>
      <c r="P95" s="160"/>
      <c r="Q95" s="85"/>
      <c r="R95" s="162"/>
      <c r="S95" s="161"/>
    </row>
    <row r="96" spans="1:19" x14ac:dyDescent="0.25">
      <c r="A96" s="42">
        <v>16</v>
      </c>
      <c r="B96" s="73" t="s">
        <v>91</v>
      </c>
      <c r="C96" s="146">
        <v>45</v>
      </c>
      <c r="D96" s="73">
        <v>2</v>
      </c>
      <c r="E96" s="73" t="s">
        <v>158</v>
      </c>
      <c r="F96" s="130">
        <v>42619</v>
      </c>
      <c r="G96" s="62">
        <f>22/C96</f>
        <v>0.48888888888888887</v>
      </c>
      <c r="H96" s="63"/>
      <c r="I96" s="28"/>
      <c r="J96" s="63"/>
      <c r="K96" s="28"/>
      <c r="L96" s="63"/>
      <c r="M96" s="63"/>
      <c r="N96" s="63"/>
      <c r="O96" s="73" t="s">
        <v>77</v>
      </c>
      <c r="P96" s="160"/>
      <c r="Q96" s="85"/>
      <c r="R96" s="162"/>
      <c r="S96" s="161"/>
    </row>
    <row r="97" spans="1:19" x14ac:dyDescent="0.25">
      <c r="A97" s="42">
        <v>17</v>
      </c>
      <c r="B97" s="73" t="s">
        <v>92</v>
      </c>
      <c r="C97" s="146">
        <v>30</v>
      </c>
      <c r="D97" s="73">
        <v>1</v>
      </c>
      <c r="E97" s="195" t="s">
        <v>173</v>
      </c>
      <c r="F97" s="130">
        <v>42620</v>
      </c>
      <c r="G97" s="188">
        <f>18/C97</f>
        <v>0.6</v>
      </c>
      <c r="H97" s="73"/>
      <c r="I97" s="74"/>
      <c r="J97" s="73"/>
      <c r="K97" s="74"/>
      <c r="L97" s="73"/>
      <c r="M97" s="73"/>
      <c r="N97" s="73"/>
      <c r="O97" s="73" t="s">
        <v>77</v>
      </c>
      <c r="P97" s="160"/>
      <c r="Q97" s="85"/>
      <c r="R97" s="162"/>
      <c r="S97" s="161"/>
    </row>
    <row r="98" spans="1:19" x14ac:dyDescent="0.25">
      <c r="A98" s="42">
        <v>18</v>
      </c>
      <c r="B98" s="73" t="s">
        <v>93</v>
      </c>
      <c r="C98" s="146">
        <v>40</v>
      </c>
      <c r="D98" s="73">
        <v>0</v>
      </c>
      <c r="E98" s="195" t="s">
        <v>208</v>
      </c>
      <c r="F98" s="130">
        <v>41942</v>
      </c>
      <c r="G98" s="188">
        <f>23/C98</f>
        <v>0.57499999999999996</v>
      </c>
      <c r="H98" s="73" t="s">
        <v>68</v>
      </c>
      <c r="I98" s="275" t="s">
        <v>1054</v>
      </c>
      <c r="J98" s="147">
        <f>K98*3.4528</f>
        <v>755061.34246399999</v>
      </c>
      <c r="K98" s="189">
        <v>218680.88</v>
      </c>
      <c r="L98" s="140">
        <v>42543</v>
      </c>
      <c r="M98" s="73"/>
      <c r="N98" s="73"/>
      <c r="O98" s="73" t="s">
        <v>167</v>
      </c>
      <c r="P98" s="148">
        <v>42270</v>
      </c>
      <c r="Q98" s="85">
        <f>R98*3.4528</f>
        <v>1879.0828160000001</v>
      </c>
      <c r="R98" s="162">
        <v>544.22</v>
      </c>
      <c r="S98" s="150">
        <v>42346</v>
      </c>
    </row>
    <row r="99" spans="1:19" x14ac:dyDescent="0.25">
      <c r="A99" s="42">
        <v>19</v>
      </c>
      <c r="B99" s="73" t="s">
        <v>481</v>
      </c>
      <c r="C99" s="146">
        <v>60</v>
      </c>
      <c r="D99" s="73">
        <v>3</v>
      </c>
      <c r="E99" s="73" t="s">
        <v>166</v>
      </c>
      <c r="F99" s="130">
        <v>41864</v>
      </c>
      <c r="G99" s="62">
        <f>20/C99</f>
        <v>0.33333333333333331</v>
      </c>
      <c r="H99" s="63"/>
      <c r="I99" s="28"/>
      <c r="J99" s="63"/>
      <c r="K99" s="28"/>
      <c r="L99" s="63"/>
      <c r="M99" s="63"/>
      <c r="N99" s="63"/>
      <c r="O99" s="73" t="s">
        <v>77</v>
      </c>
      <c r="P99" s="160"/>
      <c r="Q99" s="85"/>
      <c r="R99" s="162"/>
      <c r="S99" s="161"/>
    </row>
    <row r="100" spans="1:19" x14ac:dyDescent="0.25">
      <c r="A100" s="42">
        <v>20</v>
      </c>
      <c r="B100" s="42" t="s">
        <v>488</v>
      </c>
      <c r="C100" s="279">
        <v>60</v>
      </c>
      <c r="D100" s="42">
        <v>2</v>
      </c>
      <c r="E100" s="398" t="s">
        <v>211</v>
      </c>
      <c r="F100" s="297">
        <v>41942</v>
      </c>
      <c r="G100" s="352">
        <f>36/C100</f>
        <v>0.6</v>
      </c>
      <c r="H100" s="42" t="s">
        <v>68</v>
      </c>
      <c r="I100" s="279" t="s">
        <v>228</v>
      </c>
      <c r="J100" s="299">
        <f>K100*3.4528</f>
        <v>1544917.1029759999</v>
      </c>
      <c r="K100" s="353">
        <v>447438.92</v>
      </c>
      <c r="L100" s="341">
        <v>42027</v>
      </c>
      <c r="M100" s="341">
        <v>42584</v>
      </c>
      <c r="N100" s="42" t="s">
        <v>68</v>
      </c>
      <c r="O100" s="42" t="s">
        <v>167</v>
      </c>
      <c r="P100" s="305">
        <v>41975</v>
      </c>
      <c r="Q100" s="127">
        <v>1878.62</v>
      </c>
      <c r="R100" s="306">
        <f>Q100/3.4528</f>
        <v>544.08595922150141</v>
      </c>
      <c r="S100" s="304">
        <v>42040</v>
      </c>
    </row>
    <row r="101" spans="1:19" x14ac:dyDescent="0.25">
      <c r="A101" s="42">
        <v>21</v>
      </c>
      <c r="B101" s="73" t="s">
        <v>477</v>
      </c>
      <c r="C101" s="146">
        <v>45</v>
      </c>
      <c r="D101" s="73">
        <v>0</v>
      </c>
      <c r="E101" s="73" t="s">
        <v>159</v>
      </c>
      <c r="F101" s="130">
        <v>41940</v>
      </c>
      <c r="G101" s="188">
        <f>26/C101</f>
        <v>0.57777777777777772</v>
      </c>
      <c r="H101" s="73" t="s">
        <v>68</v>
      </c>
      <c r="I101" s="146" t="s">
        <v>384</v>
      </c>
      <c r="J101" s="147">
        <f>K101*3.4528</f>
        <v>940179.38185600005</v>
      </c>
      <c r="K101" s="189">
        <v>272294.77</v>
      </c>
      <c r="L101" s="140">
        <v>42270</v>
      </c>
      <c r="M101" s="73"/>
      <c r="N101" s="73"/>
      <c r="O101" s="73" t="s">
        <v>167</v>
      </c>
      <c r="P101" s="148">
        <v>42037</v>
      </c>
      <c r="Q101" s="85">
        <v>2473.64</v>
      </c>
      <c r="R101" s="112">
        <f>Q101/3.4528</f>
        <v>716.41566265060237</v>
      </c>
      <c r="S101" s="150">
        <v>42117</v>
      </c>
    </row>
    <row r="102" spans="1:19" x14ac:dyDescent="0.25">
      <c r="A102" s="42">
        <v>22</v>
      </c>
      <c r="B102" s="73" t="s">
        <v>489</v>
      </c>
      <c r="C102" s="146">
        <v>45</v>
      </c>
      <c r="D102" s="73">
        <v>1</v>
      </c>
      <c r="E102" s="192" t="s">
        <v>210</v>
      </c>
      <c r="F102" s="75">
        <v>41940</v>
      </c>
      <c r="G102" s="188">
        <f>28/C102</f>
        <v>0.62222222222222223</v>
      </c>
      <c r="H102" s="74" t="s">
        <v>68</v>
      </c>
      <c r="I102" s="146" t="s">
        <v>227</v>
      </c>
      <c r="J102" s="147">
        <f>K102*3.4528</f>
        <v>1108100.2329279999</v>
      </c>
      <c r="K102" s="189">
        <v>320928.01</v>
      </c>
      <c r="L102" s="140">
        <v>42076</v>
      </c>
      <c r="M102" s="73"/>
      <c r="N102" s="73"/>
      <c r="O102" s="73" t="s">
        <v>167</v>
      </c>
      <c r="P102" s="148">
        <v>41975</v>
      </c>
      <c r="Q102" s="85">
        <v>1879.35</v>
      </c>
      <c r="R102" s="112">
        <f>Q102/3.4528</f>
        <v>544.29738183503241</v>
      </c>
      <c r="S102" s="150">
        <v>42040</v>
      </c>
    </row>
    <row r="103" spans="1:19" x14ac:dyDescent="0.25">
      <c r="A103" s="42">
        <v>23</v>
      </c>
      <c r="B103" s="73" t="s">
        <v>490</v>
      </c>
      <c r="C103" s="146">
        <v>40</v>
      </c>
      <c r="D103" s="73">
        <v>1</v>
      </c>
      <c r="E103" s="192" t="s">
        <v>209</v>
      </c>
      <c r="F103" s="75">
        <v>42620</v>
      </c>
      <c r="G103" s="188">
        <f>24/C103</f>
        <v>0.6</v>
      </c>
      <c r="H103" s="89"/>
      <c r="I103" s="74"/>
      <c r="J103" s="73"/>
      <c r="K103" s="74"/>
      <c r="L103" s="73"/>
      <c r="M103" s="73"/>
      <c r="N103" s="73"/>
      <c r="O103" s="73" t="s">
        <v>77</v>
      </c>
      <c r="P103" s="160"/>
      <c r="Q103" s="85"/>
      <c r="R103" s="162"/>
      <c r="S103" s="161"/>
    </row>
    <row r="104" spans="1:19" ht="15.75" thickBot="1" x14ac:dyDescent="0.3">
      <c r="A104" s="43">
        <v>24</v>
      </c>
      <c r="B104" s="169" t="s">
        <v>1033</v>
      </c>
      <c r="C104" s="173">
        <v>75</v>
      </c>
      <c r="D104" s="169">
        <v>2</v>
      </c>
      <c r="E104" s="196" t="s">
        <v>199</v>
      </c>
      <c r="F104" s="182">
        <v>41906</v>
      </c>
      <c r="G104" s="396">
        <f>45/C104</f>
        <v>0.6</v>
      </c>
      <c r="H104" s="181" t="s">
        <v>68</v>
      </c>
      <c r="I104" s="173" t="s">
        <v>96</v>
      </c>
      <c r="J104" s="327">
        <f>K104*3.4528</f>
        <v>1987426.5698559999</v>
      </c>
      <c r="K104" s="197">
        <v>575598.52</v>
      </c>
      <c r="L104" s="179">
        <v>42026</v>
      </c>
      <c r="M104" s="179">
        <v>42573</v>
      </c>
      <c r="N104" s="169"/>
      <c r="O104" s="169" t="s">
        <v>167</v>
      </c>
      <c r="P104" s="174">
        <v>41956</v>
      </c>
      <c r="Q104" s="187">
        <v>1880.99</v>
      </c>
      <c r="R104" s="175">
        <f>Q104/3.4528</f>
        <v>544.77235866543094</v>
      </c>
      <c r="S104" s="176">
        <v>42034</v>
      </c>
    </row>
    <row r="105" spans="1:19" s="2" customFormat="1" x14ac:dyDescent="0.25">
      <c r="A105" s="47"/>
      <c r="B105" s="49" t="s">
        <v>110</v>
      </c>
      <c r="C105">
        <f>SUM(C81:C104)</f>
        <v>1221</v>
      </c>
      <c r="D105" s="2">
        <f>SUM(D81:D104)</f>
        <v>35</v>
      </c>
      <c r="E105" s="65"/>
      <c r="F105" s="64"/>
      <c r="G105" s="1">
        <f>COUNTIF(G81:G104,"&gt;0,5")</f>
        <v>17</v>
      </c>
      <c r="H105" s="1">
        <f>COUNTIF(H81:H104,"Taip")</f>
        <v>15</v>
      </c>
      <c r="I105" s="1">
        <f>COUNTA(I81:I104)</f>
        <v>15</v>
      </c>
      <c r="J105" s="52">
        <f>SUM(J81:J104)</f>
        <v>18763274.893759999</v>
      </c>
      <c r="K105" s="52">
        <f>SUM(K81:K104)</f>
        <v>5434220.0225208532</v>
      </c>
      <c r="L105" s="1"/>
      <c r="M105" s="1">
        <f>COUNTA(M81:M104)</f>
        <v>8</v>
      </c>
      <c r="N105" s="1">
        <f>COUNTA(N81:N104)</f>
        <v>2</v>
      </c>
      <c r="O105" s="1"/>
      <c r="P105" s="1"/>
      <c r="Q105" s="1"/>
      <c r="R105" s="1"/>
      <c r="S105" s="1"/>
    </row>
    <row r="106" spans="1:19" ht="16.5" thickBot="1" x14ac:dyDescent="0.3">
      <c r="B106" s="100" t="s">
        <v>234</v>
      </c>
      <c r="P106" s="1"/>
      <c r="Q106" s="1"/>
      <c r="R106" s="1"/>
      <c r="S106" s="1"/>
    </row>
    <row r="107" spans="1:19" ht="45.75" customHeight="1" thickBot="1" x14ac:dyDescent="0.3">
      <c r="A107" s="36" t="s">
        <v>0</v>
      </c>
      <c r="B107" s="37" t="s">
        <v>1</v>
      </c>
      <c r="C107" s="53" t="s">
        <v>94</v>
      </c>
      <c r="D107" s="53" t="s">
        <v>95</v>
      </c>
      <c r="E107" s="53" t="s">
        <v>102</v>
      </c>
      <c r="F107" s="53" t="s">
        <v>2</v>
      </c>
      <c r="G107" s="53" t="s">
        <v>69</v>
      </c>
      <c r="H107" s="53" t="s">
        <v>3</v>
      </c>
      <c r="I107" s="53" t="s">
        <v>73</v>
      </c>
      <c r="J107" s="53" t="s">
        <v>226</v>
      </c>
      <c r="K107" s="53" t="s">
        <v>225</v>
      </c>
      <c r="L107" s="53" t="s">
        <v>108</v>
      </c>
      <c r="M107" s="53" t="s">
        <v>243</v>
      </c>
      <c r="N107" s="53" t="s">
        <v>389</v>
      </c>
      <c r="O107" s="53" t="s">
        <v>109</v>
      </c>
      <c r="P107" s="18" t="s">
        <v>170</v>
      </c>
      <c r="Q107" s="53" t="s">
        <v>223</v>
      </c>
      <c r="R107" s="53" t="s">
        <v>247</v>
      </c>
      <c r="S107" s="20" t="s">
        <v>169</v>
      </c>
    </row>
    <row r="108" spans="1:19" x14ac:dyDescent="0.25">
      <c r="A108" s="19">
        <v>1</v>
      </c>
      <c r="B108" s="126" t="s">
        <v>103</v>
      </c>
      <c r="C108" s="154">
        <v>45</v>
      </c>
      <c r="D108" s="154">
        <v>0</v>
      </c>
      <c r="E108" s="103" t="s">
        <v>213</v>
      </c>
      <c r="F108" s="144">
        <v>42170</v>
      </c>
      <c r="G108" s="198">
        <f>29/C108</f>
        <v>0.64444444444444449</v>
      </c>
      <c r="H108" s="8" t="s">
        <v>68</v>
      </c>
      <c r="I108" s="146" t="s">
        <v>228</v>
      </c>
      <c r="J108" s="329">
        <f>K108*3.4528</f>
        <v>1518373.2886399999</v>
      </c>
      <c r="K108" s="329">
        <v>439751.3</v>
      </c>
      <c r="L108" s="238">
        <v>42436</v>
      </c>
      <c r="M108" s="103"/>
      <c r="N108" s="104"/>
      <c r="O108" s="9" t="s">
        <v>167</v>
      </c>
      <c r="P108" s="143">
        <v>42271</v>
      </c>
      <c r="Q108" s="59">
        <f>R108*3.4528</f>
        <v>2002.209664</v>
      </c>
      <c r="R108" s="59">
        <v>579.88</v>
      </c>
      <c r="S108" s="288">
        <v>42346</v>
      </c>
    </row>
    <row r="109" spans="1:19" x14ac:dyDescent="0.25">
      <c r="A109" s="42">
        <v>2</v>
      </c>
      <c r="B109" s="129" t="s">
        <v>104</v>
      </c>
      <c r="C109" s="146">
        <v>54</v>
      </c>
      <c r="D109" s="146">
        <v>1</v>
      </c>
      <c r="E109" s="73" t="s">
        <v>215</v>
      </c>
      <c r="F109" s="164">
        <v>42627</v>
      </c>
      <c r="G109" s="62">
        <f>23/C109</f>
        <v>0.42592592592592593</v>
      </c>
      <c r="H109" s="28"/>
      <c r="I109" s="15"/>
      <c r="J109" s="63"/>
      <c r="K109" s="63"/>
      <c r="L109" s="28"/>
      <c r="M109" s="63"/>
      <c r="N109" s="28"/>
      <c r="O109" s="3" t="s">
        <v>77</v>
      </c>
      <c r="P109" s="11"/>
      <c r="Q109" s="58"/>
      <c r="R109" s="109"/>
      <c r="S109" s="12"/>
    </row>
    <row r="110" spans="1:19" x14ac:dyDescent="0.25">
      <c r="A110" s="44">
        <v>3</v>
      </c>
      <c r="B110" s="199" t="s">
        <v>105</v>
      </c>
      <c r="C110" s="200">
        <v>54</v>
      </c>
      <c r="D110" s="200">
        <v>0</v>
      </c>
      <c r="E110" s="77" t="s">
        <v>216</v>
      </c>
      <c r="F110" s="164">
        <v>42627</v>
      </c>
      <c r="G110" s="241">
        <f>34/C110</f>
        <v>0.62962962962962965</v>
      </c>
      <c r="H110" s="166"/>
      <c r="I110" s="200"/>
      <c r="J110" s="77"/>
      <c r="K110" s="77"/>
      <c r="L110" s="166"/>
      <c r="M110" s="77"/>
      <c r="N110" s="166"/>
      <c r="O110" s="7" t="s">
        <v>77</v>
      </c>
      <c r="P110" s="78"/>
      <c r="Q110" s="79"/>
      <c r="R110" s="111"/>
      <c r="S110" s="80"/>
    </row>
    <row r="111" spans="1:19" x14ac:dyDescent="0.25">
      <c r="A111" s="119">
        <v>4</v>
      </c>
      <c r="B111" s="73" t="s">
        <v>106</v>
      </c>
      <c r="C111" s="146">
        <v>45</v>
      </c>
      <c r="D111" s="146">
        <v>2</v>
      </c>
      <c r="E111" s="73" t="s">
        <v>214</v>
      </c>
      <c r="F111" s="130">
        <v>42627</v>
      </c>
      <c r="G111" s="62">
        <f>9/C111</f>
        <v>0.2</v>
      </c>
      <c r="H111" s="28"/>
      <c r="I111" s="15"/>
      <c r="J111" s="63"/>
      <c r="K111" s="63"/>
      <c r="L111" s="28"/>
      <c r="M111" s="63"/>
      <c r="N111" s="28"/>
      <c r="O111" s="3" t="s">
        <v>77</v>
      </c>
      <c r="P111" s="11"/>
      <c r="Q111" s="58"/>
      <c r="R111" s="109"/>
      <c r="S111" s="12"/>
    </row>
    <row r="112" spans="1:19" s="2" customFormat="1" x14ac:dyDescent="0.25">
      <c r="A112" s="42">
        <v>5</v>
      </c>
      <c r="B112" s="129" t="s">
        <v>218</v>
      </c>
      <c r="C112" s="154">
        <v>60</v>
      </c>
      <c r="D112" s="154">
        <v>3</v>
      </c>
      <c r="E112" s="102" t="s">
        <v>237</v>
      </c>
      <c r="F112" s="144">
        <v>42332</v>
      </c>
      <c r="G112" s="201">
        <f>38/C112</f>
        <v>0.6333333333333333</v>
      </c>
      <c r="H112" s="8" t="s">
        <v>68</v>
      </c>
      <c r="I112" s="275" t="s">
        <v>1054</v>
      </c>
      <c r="J112" s="147">
        <f>K112*3.4528</f>
        <v>1030400.8732159999</v>
      </c>
      <c r="K112" s="147">
        <v>298424.71999999997</v>
      </c>
      <c r="L112" s="335">
        <v>42433</v>
      </c>
      <c r="M112" s="115"/>
      <c r="N112" s="128"/>
      <c r="O112" s="115" t="s">
        <v>167</v>
      </c>
      <c r="P112" s="142">
        <v>42271</v>
      </c>
      <c r="Q112" s="79">
        <f>3.4528*R112</f>
        <v>1984.358688</v>
      </c>
      <c r="R112" s="116">
        <v>574.71</v>
      </c>
      <c r="S112" s="289">
        <v>42346</v>
      </c>
    </row>
    <row r="113" spans="1:19" s="2" customFormat="1" x14ac:dyDescent="0.25">
      <c r="A113" s="42">
        <v>6</v>
      </c>
      <c r="B113" s="129" t="s">
        <v>219</v>
      </c>
      <c r="C113" s="146">
        <v>6</v>
      </c>
      <c r="D113" s="146">
        <v>5</v>
      </c>
      <c r="E113" s="73" t="s">
        <v>239</v>
      </c>
      <c r="F113" s="130">
        <v>42180</v>
      </c>
      <c r="G113" s="201">
        <f>5/6</f>
        <v>0.83333333333333337</v>
      </c>
      <c r="H113" s="28"/>
      <c r="I113" s="15"/>
      <c r="J113" s="63" t="s">
        <v>76</v>
      </c>
      <c r="K113" s="63"/>
      <c r="L113" s="28"/>
      <c r="M113" s="63"/>
      <c r="N113" s="28"/>
      <c r="O113" s="115" t="s">
        <v>167</v>
      </c>
      <c r="P113" s="76">
        <v>42284</v>
      </c>
      <c r="Q113" s="79">
        <f>3.4528*R113</f>
        <v>1984.358688</v>
      </c>
      <c r="R113" s="109">
        <v>574.71</v>
      </c>
      <c r="S113" s="272">
        <v>42396</v>
      </c>
    </row>
    <row r="114" spans="1:19" s="2" customFormat="1" x14ac:dyDescent="0.25">
      <c r="A114" s="42">
        <v>7</v>
      </c>
      <c r="B114" s="129" t="s">
        <v>220</v>
      </c>
      <c r="C114" s="146">
        <v>5</v>
      </c>
      <c r="D114" s="146">
        <v>5</v>
      </c>
      <c r="E114" s="73" t="s">
        <v>238</v>
      </c>
      <c r="F114" s="130">
        <v>42628</v>
      </c>
      <c r="G114" s="201">
        <f>5/C114</f>
        <v>1</v>
      </c>
      <c r="H114" s="5"/>
      <c r="I114" s="275"/>
      <c r="J114" s="3"/>
      <c r="K114" s="3"/>
      <c r="L114" s="5"/>
      <c r="M114" s="3"/>
      <c r="N114" s="5"/>
      <c r="O114" s="3" t="s">
        <v>77</v>
      </c>
      <c r="P114" s="11"/>
      <c r="Q114" s="79"/>
      <c r="R114" s="109"/>
      <c r="S114" s="12"/>
    </row>
    <row r="115" spans="1:19" s="2" customFormat="1" x14ac:dyDescent="0.25">
      <c r="A115" s="42">
        <v>8</v>
      </c>
      <c r="B115" s="199" t="s">
        <v>221</v>
      </c>
      <c r="C115" s="200">
        <v>5</v>
      </c>
      <c r="D115" s="200">
        <v>5</v>
      </c>
      <c r="E115" s="77" t="s">
        <v>240</v>
      </c>
      <c r="F115" s="164">
        <v>42180</v>
      </c>
      <c r="G115" s="201">
        <f>5/C115</f>
        <v>1</v>
      </c>
      <c r="H115" s="8" t="s">
        <v>68</v>
      </c>
      <c r="I115" s="146" t="s">
        <v>1095</v>
      </c>
      <c r="J115" s="147">
        <f>K115*3.4528</f>
        <v>362970.89866751997</v>
      </c>
      <c r="K115" s="147">
        <v>105123.6384</v>
      </c>
      <c r="L115" s="339">
        <v>42524</v>
      </c>
      <c r="M115" s="7"/>
      <c r="N115" s="8"/>
      <c r="O115" s="115" t="s">
        <v>167</v>
      </c>
      <c r="P115" s="141">
        <v>42271</v>
      </c>
      <c r="Q115" s="79">
        <f>3.4528*R115</f>
        <v>1984.358688</v>
      </c>
      <c r="R115" s="111">
        <v>574.71</v>
      </c>
      <c r="S115" s="273">
        <v>42317</v>
      </c>
    </row>
    <row r="116" spans="1:19" s="2" customFormat="1" x14ac:dyDescent="0.25">
      <c r="A116" s="42">
        <v>9</v>
      </c>
      <c r="B116" s="73" t="s">
        <v>217</v>
      </c>
      <c r="C116" s="146">
        <v>60</v>
      </c>
      <c r="D116" s="146">
        <v>2</v>
      </c>
      <c r="E116" s="73" t="s">
        <v>236</v>
      </c>
      <c r="F116" s="130">
        <v>42156</v>
      </c>
      <c r="G116" s="188">
        <f>34/C116</f>
        <v>0.56666666666666665</v>
      </c>
      <c r="H116" s="3" t="s">
        <v>68</v>
      </c>
      <c r="I116" s="275" t="s">
        <v>1054</v>
      </c>
      <c r="J116" s="147">
        <f>K116*3.4528</f>
        <v>1173798.5230399999</v>
      </c>
      <c r="K116" s="147">
        <v>339955.55</v>
      </c>
      <c r="L116" s="311">
        <v>42424</v>
      </c>
      <c r="M116" s="3"/>
      <c r="N116" s="5"/>
      <c r="O116" s="115" t="s">
        <v>167</v>
      </c>
      <c r="P116" s="76">
        <v>42271</v>
      </c>
      <c r="Q116" s="58">
        <f>3.4528*R116</f>
        <v>1984.358688</v>
      </c>
      <c r="R116" s="109">
        <v>574.71</v>
      </c>
      <c r="S116" s="272">
        <v>42317</v>
      </c>
    </row>
    <row r="117" spans="1:19" s="2" customFormat="1" x14ac:dyDescent="0.25">
      <c r="A117" s="42">
        <v>10</v>
      </c>
      <c r="B117" s="129" t="s">
        <v>245</v>
      </c>
      <c r="C117" s="115">
        <v>45</v>
      </c>
      <c r="D117" s="128">
        <v>1</v>
      </c>
      <c r="E117" s="115"/>
      <c r="F117" s="128"/>
      <c r="G117" s="115"/>
      <c r="H117" s="128"/>
      <c r="I117" s="328"/>
      <c r="J117" s="115"/>
      <c r="K117" s="131"/>
      <c r="L117" s="128"/>
      <c r="M117" s="115"/>
      <c r="N117" s="128"/>
      <c r="O117" s="115" t="s">
        <v>381</v>
      </c>
      <c r="P117" s="133"/>
      <c r="Q117" s="134"/>
      <c r="R117" s="135"/>
      <c r="S117" s="136"/>
    </row>
    <row r="118" spans="1:19" s="2" customFormat="1" x14ac:dyDescent="0.25">
      <c r="A118" s="42">
        <v>11</v>
      </c>
      <c r="B118" s="89" t="s">
        <v>482</v>
      </c>
      <c r="C118" s="115">
        <v>60</v>
      </c>
      <c r="D118" s="128">
        <v>0</v>
      </c>
      <c r="E118" s="3"/>
      <c r="F118" s="5"/>
      <c r="G118" s="3"/>
      <c r="H118" s="5"/>
      <c r="I118" s="275"/>
      <c r="J118" s="3"/>
      <c r="K118" s="132"/>
      <c r="L118" s="5"/>
      <c r="M118" s="3"/>
      <c r="N118" s="128"/>
      <c r="O118" s="115" t="s">
        <v>381</v>
      </c>
      <c r="P118" s="137"/>
      <c r="Q118" s="127"/>
      <c r="R118" s="138"/>
      <c r="S118" s="139"/>
    </row>
    <row r="119" spans="1:19" s="2" customFormat="1" x14ac:dyDescent="0.25">
      <c r="A119" s="42">
        <v>12</v>
      </c>
      <c r="B119" s="89" t="s">
        <v>246</v>
      </c>
      <c r="C119" s="3">
        <v>60</v>
      </c>
      <c r="D119" s="5">
        <v>2</v>
      </c>
      <c r="E119" s="3"/>
      <c r="F119" s="5"/>
      <c r="G119" s="3"/>
      <c r="H119" s="5"/>
      <c r="I119" s="275"/>
      <c r="J119" s="3"/>
      <c r="K119" s="132"/>
      <c r="L119" s="5"/>
      <c r="M119" s="3"/>
      <c r="N119" s="128"/>
      <c r="O119" s="115" t="s">
        <v>381</v>
      </c>
      <c r="P119" s="137"/>
      <c r="Q119" s="127"/>
      <c r="R119" s="138"/>
      <c r="S119" s="139"/>
    </row>
    <row r="120" spans="1:19" s="2" customFormat="1" x14ac:dyDescent="0.25">
      <c r="A120" s="42">
        <v>13</v>
      </c>
      <c r="B120" s="89" t="s">
        <v>248</v>
      </c>
      <c r="C120" s="3">
        <v>60</v>
      </c>
      <c r="D120" s="5">
        <v>3</v>
      </c>
      <c r="E120" s="115"/>
      <c r="F120" s="128"/>
      <c r="G120" s="115"/>
      <c r="H120" s="128"/>
      <c r="I120" s="328"/>
      <c r="J120" s="115"/>
      <c r="K120" s="131"/>
      <c r="L120" s="128"/>
      <c r="M120" s="115"/>
      <c r="N120" s="128"/>
      <c r="O120" s="115" t="s">
        <v>381</v>
      </c>
      <c r="P120" s="133"/>
      <c r="Q120" s="134"/>
      <c r="R120" s="135"/>
      <c r="S120" s="136"/>
    </row>
    <row r="121" spans="1:19" s="2" customFormat="1" x14ac:dyDescent="0.25">
      <c r="A121" s="42">
        <v>14</v>
      </c>
      <c r="B121" s="89" t="s">
        <v>249</v>
      </c>
      <c r="C121" s="3">
        <v>40</v>
      </c>
      <c r="D121" s="5">
        <v>0</v>
      </c>
      <c r="E121" s="3"/>
      <c r="F121" s="5"/>
      <c r="G121" s="3"/>
      <c r="H121" s="5"/>
      <c r="I121" s="275"/>
      <c r="J121" s="3"/>
      <c r="K121" s="132"/>
      <c r="L121" s="5"/>
      <c r="M121" s="3"/>
      <c r="N121" s="128"/>
      <c r="O121" s="115" t="s">
        <v>381</v>
      </c>
      <c r="P121" s="137"/>
      <c r="Q121" s="127"/>
      <c r="R121" s="138"/>
      <c r="S121" s="139"/>
    </row>
    <row r="122" spans="1:19" s="2" customFormat="1" x14ac:dyDescent="0.25">
      <c r="A122" s="42">
        <v>15</v>
      </c>
      <c r="B122" s="89" t="s">
        <v>380</v>
      </c>
      <c r="C122" s="3">
        <v>8</v>
      </c>
      <c r="D122" s="5">
        <v>0</v>
      </c>
      <c r="E122" s="3"/>
      <c r="F122" s="5"/>
      <c r="G122" s="3"/>
      <c r="H122" s="5"/>
      <c r="I122" s="275"/>
      <c r="J122" s="3"/>
      <c r="K122" s="132"/>
      <c r="L122" s="5"/>
      <c r="M122" s="3"/>
      <c r="N122" s="5"/>
      <c r="O122" s="3" t="s">
        <v>381</v>
      </c>
      <c r="P122" s="279"/>
      <c r="Q122" s="127"/>
      <c r="R122" s="280"/>
      <c r="S122" s="139"/>
    </row>
    <row r="123" spans="1:19" s="2" customFormat="1" x14ac:dyDescent="0.25">
      <c r="A123" s="44">
        <v>16</v>
      </c>
      <c r="B123" s="322" t="s">
        <v>1051</v>
      </c>
      <c r="C123" s="115">
        <v>45</v>
      </c>
      <c r="D123" s="115">
        <v>0</v>
      </c>
      <c r="E123" s="128"/>
      <c r="F123" s="115"/>
      <c r="G123" s="128"/>
      <c r="H123" s="115"/>
      <c r="I123" s="128"/>
      <c r="J123" s="115"/>
      <c r="K123" s="131"/>
      <c r="L123" s="128"/>
      <c r="M123" s="115"/>
      <c r="N123" s="128"/>
      <c r="O123" s="276" t="s">
        <v>381</v>
      </c>
      <c r="P123" s="323"/>
      <c r="Q123" s="135"/>
      <c r="R123" s="135"/>
      <c r="S123" s="136"/>
    </row>
    <row r="124" spans="1:19" s="2" customFormat="1" x14ac:dyDescent="0.25">
      <c r="A124" s="42">
        <v>17</v>
      </c>
      <c r="B124" s="47" t="s">
        <v>1034</v>
      </c>
      <c r="C124" s="3">
        <v>60</v>
      </c>
      <c r="D124" s="276">
        <v>2</v>
      </c>
      <c r="E124" s="1"/>
      <c r="F124" s="276"/>
      <c r="G124" s="1"/>
      <c r="H124" s="276"/>
      <c r="I124" s="1"/>
      <c r="J124" s="276"/>
      <c r="K124" s="277"/>
      <c r="L124" s="1"/>
      <c r="M124" s="276"/>
      <c r="N124" s="1"/>
      <c r="O124" s="3" t="s">
        <v>381</v>
      </c>
      <c r="P124" s="278"/>
      <c r="Q124" s="320"/>
      <c r="R124" s="320"/>
      <c r="S124" s="321"/>
    </row>
    <row r="125" spans="1:19" s="2" customFormat="1" x14ac:dyDescent="0.25">
      <c r="A125" s="44">
        <v>18</v>
      </c>
      <c r="B125" s="85" t="s">
        <v>1035</v>
      </c>
      <c r="C125" s="3">
        <v>45</v>
      </c>
      <c r="D125" s="3">
        <v>0</v>
      </c>
      <c r="E125" s="5"/>
      <c r="F125" s="287"/>
      <c r="G125" s="5"/>
      <c r="H125" s="3"/>
      <c r="I125" s="5"/>
      <c r="J125" s="3"/>
      <c r="K125" s="132"/>
      <c r="L125" s="5"/>
      <c r="M125" s="3"/>
      <c r="N125" s="5"/>
      <c r="O125" s="115" t="s">
        <v>381</v>
      </c>
      <c r="P125" s="279"/>
      <c r="Q125" s="138"/>
      <c r="R125" s="138"/>
      <c r="S125" s="139"/>
    </row>
    <row r="126" spans="1:19" x14ac:dyDescent="0.25">
      <c r="A126" s="42">
        <v>19</v>
      </c>
      <c r="B126" s="89" t="s">
        <v>1036</v>
      </c>
      <c r="C126" s="73">
        <v>45</v>
      </c>
      <c r="D126" s="3">
        <v>2</v>
      </c>
      <c r="E126" s="5"/>
      <c r="F126" s="287"/>
      <c r="G126" s="5"/>
      <c r="H126" s="3"/>
      <c r="I126" s="356"/>
      <c r="J126" s="3"/>
      <c r="K126" s="3"/>
      <c r="L126" s="5"/>
      <c r="M126" s="3"/>
      <c r="N126" s="5"/>
      <c r="O126" s="3" t="s">
        <v>381</v>
      </c>
      <c r="P126" s="279"/>
      <c r="Q126" s="138"/>
      <c r="R126" s="138"/>
      <c r="S126" s="139"/>
    </row>
    <row r="127" spans="1:19" s="2" customFormat="1" x14ac:dyDescent="0.25">
      <c r="A127" s="44">
        <v>20</v>
      </c>
      <c r="B127" s="355" t="s">
        <v>1049</v>
      </c>
      <c r="C127" s="154">
        <v>45</v>
      </c>
      <c r="D127" s="115">
        <v>2</v>
      </c>
      <c r="E127" s="115"/>
      <c r="F127" s="335"/>
      <c r="G127" s="115"/>
      <c r="H127" s="128"/>
      <c r="I127" s="373"/>
      <c r="J127" s="128"/>
      <c r="K127" s="115"/>
      <c r="L127" s="128"/>
      <c r="M127" s="115"/>
      <c r="N127" s="128"/>
      <c r="O127" s="276" t="s">
        <v>381</v>
      </c>
      <c r="P127" s="323"/>
      <c r="Q127" s="134"/>
      <c r="R127" s="134"/>
      <c r="S127" s="374"/>
    </row>
    <row r="128" spans="1:19" s="2" customFormat="1" x14ac:dyDescent="0.25">
      <c r="A128" s="42">
        <v>21</v>
      </c>
      <c r="B128" s="74" t="s">
        <v>1048</v>
      </c>
      <c r="C128" s="146">
        <v>45</v>
      </c>
      <c r="D128" s="3">
        <v>1</v>
      </c>
      <c r="E128" s="3"/>
      <c r="F128" s="311"/>
      <c r="G128" s="3"/>
      <c r="H128" s="5"/>
      <c r="I128" s="332"/>
      <c r="J128" s="5"/>
      <c r="K128" s="3"/>
      <c r="L128" s="5"/>
      <c r="M128" s="3"/>
      <c r="N128" s="5"/>
      <c r="O128" s="3" t="s">
        <v>381</v>
      </c>
      <c r="P128" s="279"/>
      <c r="Q128" s="127"/>
      <c r="R128" s="127"/>
      <c r="S128" s="281"/>
    </row>
    <row r="129" spans="1:19" s="2" customFormat="1" x14ac:dyDescent="0.25">
      <c r="A129" s="44">
        <v>22</v>
      </c>
      <c r="B129" s="74" t="s">
        <v>1052</v>
      </c>
      <c r="C129" s="146">
        <v>45</v>
      </c>
      <c r="D129" s="3">
        <v>0</v>
      </c>
      <c r="E129" s="3"/>
      <c r="F129" s="311"/>
      <c r="G129" s="3"/>
      <c r="H129" s="5"/>
      <c r="I129" s="332"/>
      <c r="J129" s="5"/>
      <c r="K129" s="3"/>
      <c r="L129" s="5"/>
      <c r="M129" s="3"/>
      <c r="N129" s="5"/>
      <c r="O129" s="276" t="s">
        <v>381</v>
      </c>
      <c r="P129" s="279"/>
      <c r="Q129" s="127"/>
      <c r="R129" s="127"/>
      <c r="S129" s="281"/>
    </row>
    <row r="130" spans="1:19" s="2" customFormat="1" x14ac:dyDescent="0.25">
      <c r="A130" s="42">
        <v>23</v>
      </c>
      <c r="B130" s="74" t="s">
        <v>1053</v>
      </c>
      <c r="C130" s="146">
        <v>45</v>
      </c>
      <c r="D130" s="3">
        <v>0</v>
      </c>
      <c r="E130" s="3"/>
      <c r="F130" s="311"/>
      <c r="G130" s="3"/>
      <c r="H130" s="5"/>
      <c r="I130" s="332"/>
      <c r="J130" s="5"/>
      <c r="K130" s="3"/>
      <c r="L130" s="5"/>
      <c r="M130" s="3"/>
      <c r="N130" s="5"/>
      <c r="O130" s="3" t="s">
        <v>381</v>
      </c>
      <c r="P130" s="279"/>
      <c r="Q130" s="127"/>
      <c r="R130" s="127"/>
      <c r="S130" s="281"/>
    </row>
    <row r="131" spans="1:19" s="2" customFormat="1" x14ac:dyDescent="0.25">
      <c r="A131" s="119">
        <v>24</v>
      </c>
      <c r="B131" s="47" t="s">
        <v>1032</v>
      </c>
      <c r="C131" s="330">
        <v>30</v>
      </c>
      <c r="D131" s="240">
        <v>0</v>
      </c>
      <c r="E131" s="276"/>
      <c r="F131" s="64"/>
      <c r="G131" s="276"/>
      <c r="H131" s="1"/>
      <c r="I131" s="333"/>
      <c r="J131" s="1"/>
      <c r="K131" s="276"/>
      <c r="L131" s="1"/>
      <c r="M131" s="276"/>
      <c r="N131" s="1"/>
      <c r="O131" s="276" t="s">
        <v>381</v>
      </c>
      <c r="P131" s="278"/>
      <c r="Q131" s="334"/>
      <c r="R131" s="334"/>
      <c r="S131" s="331"/>
    </row>
    <row r="132" spans="1:19" s="2" customFormat="1" x14ac:dyDescent="0.25">
      <c r="A132" s="42">
        <v>25</v>
      </c>
      <c r="B132" s="89" t="s">
        <v>1055</v>
      </c>
      <c r="C132" s="74">
        <v>45</v>
      </c>
      <c r="D132" s="73">
        <v>2</v>
      </c>
      <c r="E132" s="3"/>
      <c r="F132" s="311"/>
      <c r="G132" s="3"/>
      <c r="H132" s="5"/>
      <c r="I132" s="332"/>
      <c r="J132" s="5"/>
      <c r="K132" s="3"/>
      <c r="L132" s="5"/>
      <c r="M132" s="3"/>
      <c r="N132" s="5"/>
      <c r="O132" s="3" t="s">
        <v>381</v>
      </c>
      <c r="P132" s="279"/>
      <c r="Q132" s="127"/>
      <c r="R132" s="127"/>
      <c r="S132" s="281"/>
    </row>
    <row r="133" spans="1:19" s="2" customFormat="1" x14ac:dyDescent="0.25">
      <c r="A133" s="42">
        <v>26</v>
      </c>
      <c r="B133" s="89" t="s">
        <v>1056</v>
      </c>
      <c r="C133" s="74">
        <v>54</v>
      </c>
      <c r="D133" s="3">
        <v>1</v>
      </c>
      <c r="E133" s="3"/>
      <c r="F133" s="311"/>
      <c r="G133" s="3"/>
      <c r="H133" s="5"/>
      <c r="I133" s="332"/>
      <c r="J133" s="5"/>
      <c r="K133" s="3"/>
      <c r="L133" s="5"/>
      <c r="M133" s="3"/>
      <c r="N133" s="5"/>
      <c r="O133" s="3" t="s">
        <v>381</v>
      </c>
      <c r="P133" s="279"/>
      <c r="Q133" s="127"/>
      <c r="R133" s="127"/>
      <c r="S133" s="281"/>
    </row>
    <row r="134" spans="1:19" s="2" customFormat="1" x14ac:dyDescent="0.25">
      <c r="A134" s="42">
        <v>27</v>
      </c>
      <c r="B134" s="199" t="s">
        <v>1058</v>
      </c>
      <c r="C134" s="47">
        <v>45</v>
      </c>
      <c r="D134" s="276">
        <v>1</v>
      </c>
      <c r="E134" s="276"/>
      <c r="F134" s="311"/>
      <c r="G134" s="276"/>
      <c r="H134" s="1"/>
      <c r="I134" s="333"/>
      <c r="J134" s="1"/>
      <c r="K134" s="276"/>
      <c r="L134" s="1"/>
      <c r="M134" s="276"/>
      <c r="N134" s="1"/>
      <c r="O134" s="115" t="s">
        <v>77</v>
      </c>
      <c r="P134" s="330"/>
      <c r="Q134" s="378"/>
      <c r="R134" s="378"/>
      <c r="S134" s="199"/>
    </row>
    <row r="135" spans="1:19" s="2" customFormat="1" x14ac:dyDescent="0.25">
      <c r="A135" s="42">
        <v>28</v>
      </c>
      <c r="B135" s="89" t="s">
        <v>1057</v>
      </c>
      <c r="C135" s="74">
        <v>60</v>
      </c>
      <c r="D135" s="3">
        <v>3</v>
      </c>
      <c r="E135" s="3"/>
      <c r="F135" s="311"/>
      <c r="G135" s="3"/>
      <c r="H135" s="5"/>
      <c r="I135" s="332"/>
      <c r="J135" s="5"/>
      <c r="K135" s="3"/>
      <c r="L135" s="5"/>
      <c r="M135" s="3"/>
      <c r="N135" s="5"/>
      <c r="O135" s="3" t="s">
        <v>381</v>
      </c>
      <c r="P135" s="279"/>
      <c r="Q135" s="127"/>
      <c r="R135" s="127"/>
      <c r="S135" s="281"/>
    </row>
    <row r="136" spans="1:19" s="2" customFormat="1" x14ac:dyDescent="0.25">
      <c r="A136" s="42">
        <v>29</v>
      </c>
      <c r="B136" s="89" t="s">
        <v>1062</v>
      </c>
      <c r="C136" s="74">
        <v>45</v>
      </c>
      <c r="D136" s="3">
        <v>0</v>
      </c>
      <c r="E136" s="276"/>
      <c r="F136" s="311"/>
      <c r="G136" s="3"/>
      <c r="H136" s="5"/>
      <c r="I136" s="332"/>
      <c r="J136" s="5"/>
      <c r="K136" s="3"/>
      <c r="L136" s="5"/>
      <c r="M136" s="3"/>
      <c r="N136" s="5"/>
      <c r="O136" s="3" t="s">
        <v>381</v>
      </c>
      <c r="P136" s="280"/>
      <c r="Q136" s="127"/>
      <c r="R136" s="127"/>
      <c r="S136" s="280"/>
    </row>
    <row r="137" spans="1:19" x14ac:dyDescent="0.25">
      <c r="A137" s="44">
        <v>30</v>
      </c>
      <c r="B137" s="129" t="s">
        <v>1063</v>
      </c>
      <c r="C137" s="355">
        <v>38</v>
      </c>
      <c r="D137" s="102">
        <v>0</v>
      </c>
      <c r="E137" s="3"/>
      <c r="F137" s="311"/>
      <c r="G137" s="115"/>
      <c r="H137" s="5"/>
      <c r="I137" s="3"/>
      <c r="J137" s="5"/>
      <c r="K137" s="3"/>
      <c r="L137" s="5"/>
      <c r="M137" s="3"/>
      <c r="N137" s="357"/>
      <c r="O137" s="115" t="s">
        <v>381</v>
      </c>
      <c r="P137" s="361"/>
      <c r="Q137" s="127"/>
      <c r="R137" s="127"/>
      <c r="S137" s="361"/>
    </row>
    <row r="138" spans="1:19" ht="15.75" thickBot="1" x14ac:dyDescent="0.3">
      <c r="A138" s="43">
        <v>31</v>
      </c>
      <c r="B138" s="170" t="s">
        <v>1061</v>
      </c>
      <c r="C138" s="6">
        <v>22</v>
      </c>
      <c r="D138" s="169">
        <v>1</v>
      </c>
      <c r="E138" s="6"/>
      <c r="F138" s="182"/>
      <c r="G138" s="4"/>
      <c r="H138" s="6"/>
      <c r="I138" s="4"/>
      <c r="J138" s="6"/>
      <c r="K138" s="4"/>
      <c r="L138" s="6"/>
      <c r="M138" s="4"/>
      <c r="N138" s="6"/>
      <c r="O138" s="4" t="s">
        <v>381</v>
      </c>
      <c r="P138" s="282"/>
      <c r="Q138" s="377"/>
      <c r="R138" s="377"/>
      <c r="S138" s="283"/>
    </row>
    <row r="139" spans="1:19" s="2" customFormat="1" x14ac:dyDescent="0.25">
      <c r="A139" s="44">
        <v>32</v>
      </c>
      <c r="B139" s="162" t="s">
        <v>1078</v>
      </c>
      <c r="C139" s="9">
        <v>60</v>
      </c>
      <c r="D139" s="103">
        <v>2</v>
      </c>
      <c r="E139" s="114"/>
      <c r="F139" s="120"/>
      <c r="G139" s="128"/>
      <c r="H139" s="128"/>
      <c r="I139" s="360"/>
      <c r="J139" s="128"/>
      <c r="K139" s="128"/>
      <c r="L139" s="128"/>
      <c r="M139" s="128"/>
      <c r="N139" s="375"/>
      <c r="O139" s="115" t="s">
        <v>381</v>
      </c>
      <c r="P139" s="376"/>
      <c r="Q139" s="134"/>
      <c r="R139" s="134"/>
      <c r="S139" s="354"/>
    </row>
    <row r="140" spans="1:19" s="2" customFormat="1" x14ac:dyDescent="0.25">
      <c r="A140" s="42">
        <v>33</v>
      </c>
      <c r="B140" s="355" t="s">
        <v>1084</v>
      </c>
      <c r="C140" s="115">
        <v>100</v>
      </c>
      <c r="D140" s="102">
        <v>4</v>
      </c>
      <c r="E140" s="128"/>
      <c r="F140" s="335"/>
      <c r="G140" s="128"/>
      <c r="H140" s="128"/>
      <c r="I140" s="360"/>
      <c r="J140" s="128"/>
      <c r="K140" s="128"/>
      <c r="L140" s="128"/>
      <c r="M140" s="128"/>
      <c r="N140" s="128"/>
      <c r="O140" s="115"/>
      <c r="P140" s="362"/>
      <c r="Q140" s="134"/>
      <c r="R140" s="134"/>
      <c r="S140" s="354"/>
    </row>
    <row r="141" spans="1:19" s="2" customFormat="1" x14ac:dyDescent="0.25">
      <c r="A141" s="44">
        <v>34</v>
      </c>
      <c r="B141" s="355" t="s">
        <v>1079</v>
      </c>
      <c r="C141" s="115">
        <v>45</v>
      </c>
      <c r="D141" s="102">
        <v>1</v>
      </c>
      <c r="E141" s="128"/>
      <c r="F141" s="335"/>
      <c r="G141" s="128"/>
      <c r="H141" s="128"/>
      <c r="I141" s="360"/>
      <c r="J141" s="128"/>
      <c r="K141" s="128"/>
      <c r="L141" s="128"/>
      <c r="M141" s="128"/>
      <c r="N141" s="128"/>
      <c r="O141" s="115" t="s">
        <v>381</v>
      </c>
      <c r="P141" s="362"/>
      <c r="Q141" s="134"/>
      <c r="R141" s="134"/>
      <c r="S141" s="354"/>
    </row>
    <row r="142" spans="1:19" s="2" customFormat="1" x14ac:dyDescent="0.25">
      <c r="A142" s="42">
        <v>35</v>
      </c>
      <c r="B142" s="1" t="s">
        <v>1075</v>
      </c>
      <c r="C142" s="77">
        <v>60</v>
      </c>
      <c r="D142" s="77">
        <v>2</v>
      </c>
      <c r="E142" s="1"/>
      <c r="F142" s="64"/>
      <c r="G142" s="1"/>
      <c r="H142" s="1"/>
      <c r="I142" s="389"/>
      <c r="J142" s="1"/>
      <c r="K142" s="1"/>
      <c r="L142" s="1"/>
      <c r="M142" s="1"/>
      <c r="N142" s="1"/>
      <c r="O142" s="276" t="s">
        <v>381</v>
      </c>
      <c r="P142" s="354"/>
      <c r="Q142" s="384"/>
      <c r="R142" s="384"/>
      <c r="S142" s="354"/>
    </row>
    <row r="143" spans="1:19" s="2" customFormat="1" x14ac:dyDescent="0.25">
      <c r="A143" s="44">
        <v>36</v>
      </c>
      <c r="B143" s="146" t="s">
        <v>1065</v>
      </c>
      <c r="C143" s="85">
        <v>75</v>
      </c>
      <c r="D143" s="85">
        <v>2</v>
      </c>
      <c r="E143" s="5"/>
      <c r="F143" s="311"/>
      <c r="G143" s="5"/>
      <c r="H143" s="5"/>
      <c r="I143" s="356"/>
      <c r="J143" s="5"/>
      <c r="K143" s="5"/>
      <c r="L143" s="5"/>
      <c r="M143" s="5"/>
      <c r="N143" s="5"/>
      <c r="O143" s="5"/>
      <c r="P143" s="280"/>
      <c r="Q143" s="280"/>
      <c r="R143" s="280"/>
      <c r="S143" s="280"/>
    </row>
    <row r="144" spans="1:19" s="2" customFormat="1" x14ac:dyDescent="0.25">
      <c r="A144" s="354"/>
      <c r="B144" s="47"/>
      <c r="C144" s="47"/>
      <c r="D144" s="47"/>
      <c r="E144" s="1"/>
      <c r="F144" s="64"/>
      <c r="G144" s="1"/>
      <c r="H144" s="1"/>
      <c r="I144" s="389"/>
      <c r="J144" s="1"/>
      <c r="K144" s="1"/>
      <c r="L144" s="1"/>
      <c r="M144" s="1"/>
      <c r="N144" s="1"/>
      <c r="O144" s="1"/>
      <c r="P144" s="354"/>
      <c r="Q144" s="354"/>
      <c r="R144" s="354"/>
      <c r="S144" s="354"/>
    </row>
    <row r="145" spans="1:19" s="2" customFormat="1" x14ac:dyDescent="0.25">
      <c r="A145" s="354"/>
      <c r="B145" s="47"/>
      <c r="C145" s="47"/>
      <c r="D145" s="47"/>
      <c r="E145" s="1"/>
      <c r="F145" s="64"/>
      <c r="G145" s="1"/>
      <c r="H145" s="1"/>
      <c r="I145" s="389"/>
      <c r="J145" s="1"/>
      <c r="K145" s="1"/>
      <c r="L145" s="1"/>
      <c r="M145" s="1"/>
      <c r="N145" s="1"/>
      <c r="O145" s="1"/>
      <c r="P145" s="354"/>
      <c r="Q145" s="354"/>
      <c r="R145" s="354"/>
      <c r="S145" s="354"/>
    </row>
    <row r="146" spans="1:19" s="2" customFormat="1" x14ac:dyDescent="0.25">
      <c r="B146" s="47"/>
      <c r="C146" s="2">
        <f>SUM(C108:C138)</f>
        <v>1321</v>
      </c>
      <c r="D146" s="2">
        <f>SUM(D108:D138)</f>
        <v>44</v>
      </c>
      <c r="G146" s="2">
        <f>COUNTIF(G108:G138,"&gt;0,5")</f>
        <v>7</v>
      </c>
      <c r="H146" s="2">
        <f>COUNTIF(H108:H138,"Taip")</f>
        <v>4</v>
      </c>
      <c r="I146" s="2">
        <f>COUNTA(I108:I138)</f>
        <v>4</v>
      </c>
      <c r="J146" s="52">
        <f>SUM(J108:J138)</f>
        <v>4085543.5835635196</v>
      </c>
      <c r="K146" s="52">
        <f>SUM(K108:K138)</f>
        <v>1183255.2084000001</v>
      </c>
      <c r="L146" s="2">
        <f>COUNTIF(L108:L138,"Taip")</f>
        <v>0</v>
      </c>
      <c r="M146" s="2">
        <f>COUNTIF(M108:M138,"Taip")</f>
        <v>0</v>
      </c>
      <c r="N146" s="2">
        <f>COUNTIF(N108:N138,"Taip")</f>
        <v>0</v>
      </c>
    </row>
    <row r="147" spans="1:19" s="2" customFormat="1" x14ac:dyDescent="0.25">
      <c r="B147" s="47"/>
      <c r="K147" s="52"/>
    </row>
    <row r="148" spans="1:19" x14ac:dyDescent="0.25">
      <c r="B148" s="83" t="s">
        <v>110</v>
      </c>
      <c r="C148" s="82">
        <f>C48+C78+C105+C146</f>
        <v>5874</v>
      </c>
      <c r="D148" s="82">
        <f>D48+D78+D105+D146</f>
        <v>322</v>
      </c>
      <c r="E148" s="82"/>
      <c r="F148" s="82"/>
      <c r="G148" s="58" t="s">
        <v>1043</v>
      </c>
      <c r="H148" s="58" t="s">
        <v>1044</v>
      </c>
      <c r="I148" s="58" t="s">
        <v>1040</v>
      </c>
      <c r="J148" s="58" t="s">
        <v>1041</v>
      </c>
      <c r="K148" s="58" t="s">
        <v>1042</v>
      </c>
      <c r="L148" s="58"/>
      <c r="M148" s="58" t="s">
        <v>1038</v>
      </c>
      <c r="N148" s="58" t="s">
        <v>1039</v>
      </c>
      <c r="R148"/>
    </row>
    <row r="149" spans="1:19" x14ac:dyDescent="0.25">
      <c r="A149" s="82">
        <f>A47+A77+A104+A138</f>
        <v>127</v>
      </c>
      <c r="B149" s="85" t="s">
        <v>222</v>
      </c>
      <c r="C149" s="58">
        <f>SUMIF($H$3:$H$126,"Taip",C3:C126)</f>
        <v>2871</v>
      </c>
      <c r="D149" s="58">
        <f>SUMIF($H$3:$H$126,"Taip",D3:D126)</f>
        <v>123</v>
      </c>
      <c r="E149" s="58"/>
      <c r="F149" s="58"/>
      <c r="G149" s="82">
        <f>G48+G78+G105+G146</f>
        <v>76</v>
      </c>
      <c r="H149" s="82">
        <f>H48+H78+H105+H146</f>
        <v>62</v>
      </c>
      <c r="I149" s="82">
        <f>I48+I78+I105+I146</f>
        <v>59</v>
      </c>
      <c r="J149" s="84">
        <f>J48+J78+J105+J146</f>
        <v>73899995.658363521</v>
      </c>
      <c r="K149" s="84">
        <f>K48+K78+K105+K146</f>
        <v>21402918.110851344</v>
      </c>
      <c r="L149" s="101"/>
      <c r="M149" s="101">
        <f>M48+M78+M105+M146</f>
        <v>44</v>
      </c>
      <c r="N149" s="101">
        <f>N48+N78+N105+N146</f>
        <v>29</v>
      </c>
      <c r="R149"/>
    </row>
    <row r="150" spans="1:19" x14ac:dyDescent="0.25">
      <c r="A150">
        <f>A149-1</f>
        <v>126</v>
      </c>
      <c r="B150" s="58" t="s">
        <v>242</v>
      </c>
      <c r="C150" s="58">
        <f>C149-C8</f>
        <v>2851</v>
      </c>
      <c r="D150" s="58">
        <f>D149-D8</f>
        <v>123</v>
      </c>
      <c r="E150" s="58"/>
      <c r="F150" s="58"/>
      <c r="G150" s="58">
        <f>G149-1</f>
        <v>75</v>
      </c>
      <c r="H150" s="58">
        <f>H149-1</f>
        <v>61</v>
      </c>
      <c r="I150" s="58">
        <f>I149-1</f>
        <v>58</v>
      </c>
      <c r="J150" s="84">
        <f>J149-J8</f>
        <v>72909446.830107525</v>
      </c>
      <c r="K150" s="84">
        <f>K149-K8</f>
        <v>21116035.340851344</v>
      </c>
      <c r="L150" s="58"/>
      <c r="M150" s="108">
        <f>M149</f>
        <v>44</v>
      </c>
      <c r="N150" s="108">
        <f>N149</f>
        <v>29</v>
      </c>
      <c r="R150"/>
    </row>
    <row r="151" spans="1:19" x14ac:dyDescent="0.25">
      <c r="B151" s="47"/>
      <c r="E151" s="2" t="s">
        <v>1111</v>
      </c>
      <c r="F151" s="2"/>
      <c r="G151" s="336">
        <f>G149/$A$149</f>
        <v>0.59842519685039375</v>
      </c>
      <c r="H151" s="336">
        <f>H149/$A$149</f>
        <v>0.48818897637795278</v>
      </c>
      <c r="I151" s="336">
        <f>I149/$A$149</f>
        <v>0.46456692913385828</v>
      </c>
      <c r="R151"/>
    </row>
    <row r="152" spans="1:19" s="2" customFormat="1" x14ac:dyDescent="0.25">
      <c r="B152" s="47"/>
      <c r="E152" s="2" t="s">
        <v>1112</v>
      </c>
      <c r="G152" s="336">
        <f>G149/($A$47+$A$77+$A$104+$A$116)</f>
        <v>0.72380952380952379</v>
      </c>
      <c r="H152" s="336">
        <f t="shared" ref="H152:N152" si="2">H149/($A$47+$A$77+$A$104+$A$116)</f>
        <v>0.59047619047619049</v>
      </c>
      <c r="I152" s="336">
        <f t="shared" si="2"/>
        <v>0.56190476190476191</v>
      </c>
      <c r="J152" s="336"/>
      <c r="K152" s="336"/>
      <c r="L152" s="336"/>
      <c r="M152" s="336">
        <f t="shared" si="2"/>
        <v>0.41904761904761906</v>
      </c>
      <c r="N152" s="336">
        <f t="shared" si="2"/>
        <v>0.27619047619047621</v>
      </c>
    </row>
    <row r="153" spans="1:19" s="2" customFormat="1" ht="15.75" thickBot="1" x14ac:dyDescent="0.3">
      <c r="B153" s="47"/>
      <c r="G153" s="336"/>
      <c r="H153" s="336"/>
      <c r="I153" s="336"/>
      <c r="J153" s="336"/>
      <c r="K153" s="336"/>
      <c r="L153" s="336"/>
      <c r="M153" s="336"/>
      <c r="N153" s="336"/>
    </row>
    <row r="154" spans="1:19" ht="46.5" customHeight="1" thickBot="1" x14ac:dyDescent="0.3">
      <c r="A154" s="202"/>
      <c r="B154" s="284" t="s">
        <v>1028</v>
      </c>
      <c r="C154" s="285" t="s">
        <v>94</v>
      </c>
      <c r="D154" s="285" t="s">
        <v>95</v>
      </c>
      <c r="E154" s="286"/>
      <c r="F154" s="285" t="s">
        <v>1029</v>
      </c>
      <c r="G154" s="285" t="s">
        <v>1030</v>
      </c>
      <c r="R154"/>
    </row>
    <row r="155" spans="1:19" x14ac:dyDescent="0.25">
      <c r="A155" s="9">
        <v>1</v>
      </c>
      <c r="B155" s="104" t="s">
        <v>1026</v>
      </c>
      <c r="C155" s="9">
        <v>45</v>
      </c>
      <c r="D155" s="9">
        <v>1</v>
      </c>
      <c r="E155" s="9"/>
      <c r="F155" s="238">
        <v>42109</v>
      </c>
      <c r="G155" s="198">
        <v>0.311</v>
      </c>
      <c r="R155"/>
    </row>
    <row r="156" spans="1:19" x14ac:dyDescent="0.25">
      <c r="A156" s="3">
        <v>2</v>
      </c>
      <c r="B156" s="74" t="s">
        <v>1032</v>
      </c>
      <c r="C156" s="3">
        <v>30</v>
      </c>
      <c r="D156" s="3">
        <v>0</v>
      </c>
      <c r="E156" s="3"/>
      <c r="F156" s="130">
        <v>42233</v>
      </c>
      <c r="G156" s="188" t="s">
        <v>1031</v>
      </c>
      <c r="R156"/>
    </row>
    <row r="157" spans="1:19" ht="14.25" customHeight="1" x14ac:dyDescent="0.25">
      <c r="A157" s="3">
        <v>3</v>
      </c>
      <c r="B157" s="74" t="s">
        <v>1027</v>
      </c>
      <c r="C157" s="3">
        <v>45</v>
      </c>
      <c r="D157" s="3">
        <v>2</v>
      </c>
      <c r="E157" s="3"/>
      <c r="F157" s="130">
        <v>42261</v>
      </c>
      <c r="G157" s="188">
        <v>0.311</v>
      </c>
      <c r="H157" s="2"/>
      <c r="I157" s="117"/>
      <c r="K157" s="1"/>
      <c r="R157"/>
    </row>
    <row r="158" spans="1:19" x14ac:dyDescent="0.25">
      <c r="A158" s="3">
        <v>4</v>
      </c>
      <c r="B158" s="74" t="s">
        <v>1050</v>
      </c>
      <c r="C158" s="3">
        <v>45</v>
      </c>
      <c r="D158" s="3">
        <v>3</v>
      </c>
      <c r="E158" s="3"/>
      <c r="F158" s="130">
        <v>42404</v>
      </c>
      <c r="G158" s="188"/>
      <c r="H158" s="2"/>
      <c r="I158" s="118"/>
      <c r="K158" s="2"/>
      <c r="R158"/>
    </row>
    <row r="159" spans="1:19" x14ac:dyDescent="0.25">
      <c r="A159" s="3">
        <v>5</v>
      </c>
      <c r="B159" s="74" t="s">
        <v>1032</v>
      </c>
      <c r="C159" s="3">
        <v>30</v>
      </c>
      <c r="D159" s="3">
        <v>0</v>
      </c>
      <c r="E159" s="3"/>
      <c r="F159" s="130">
        <v>42430</v>
      </c>
      <c r="G159" s="188" t="s">
        <v>1031</v>
      </c>
      <c r="R159"/>
    </row>
    <row r="160" spans="1:19" x14ac:dyDescent="0.25">
      <c r="A160" s="3">
        <v>6</v>
      </c>
      <c r="B160" s="74" t="s">
        <v>1060</v>
      </c>
      <c r="C160" s="3">
        <v>54</v>
      </c>
      <c r="D160" s="3">
        <v>2</v>
      </c>
      <c r="E160" s="3"/>
      <c r="F160" s="130">
        <v>42493</v>
      </c>
      <c r="G160" s="188">
        <f>20/C160</f>
        <v>0.37037037037037035</v>
      </c>
      <c r="R160"/>
    </row>
    <row r="161" spans="1:18" x14ac:dyDescent="0.25">
      <c r="A161" s="3">
        <v>9</v>
      </c>
      <c r="B161" s="74" t="s">
        <v>1064</v>
      </c>
      <c r="C161" s="3">
        <v>100</v>
      </c>
      <c r="D161" s="73">
        <v>10</v>
      </c>
      <c r="E161" s="3"/>
      <c r="F161" s="144">
        <v>42520</v>
      </c>
      <c r="G161" s="188">
        <f>30/C161</f>
        <v>0.3</v>
      </c>
      <c r="R161"/>
    </row>
    <row r="162" spans="1:18" x14ac:dyDescent="0.25">
      <c r="A162" s="3">
        <v>10</v>
      </c>
      <c r="B162" s="74" t="s">
        <v>1065</v>
      </c>
      <c r="C162" s="73">
        <v>75</v>
      </c>
      <c r="D162" s="73">
        <v>2</v>
      </c>
      <c r="E162" s="3"/>
      <c r="F162" s="144">
        <v>42522</v>
      </c>
      <c r="G162" s="188">
        <f>17/C162</f>
        <v>0.22666666666666666</v>
      </c>
      <c r="R162"/>
    </row>
    <row r="163" spans="1:18" s="2" customFormat="1" x14ac:dyDescent="0.25">
      <c r="A163" s="3">
        <v>11</v>
      </c>
      <c r="B163" s="74" t="s">
        <v>1092</v>
      </c>
      <c r="C163" s="73">
        <v>54</v>
      </c>
      <c r="D163" s="73">
        <v>0</v>
      </c>
      <c r="E163" s="3"/>
      <c r="F163" s="130">
        <v>42528</v>
      </c>
      <c r="G163" s="188">
        <f>13/C163</f>
        <v>0.24074074074074073</v>
      </c>
    </row>
    <row r="164" spans="1:18" x14ac:dyDescent="0.25">
      <c r="A164" s="3">
        <v>12</v>
      </c>
      <c r="B164" s="74" t="s">
        <v>1096</v>
      </c>
      <c r="C164" s="73">
        <v>54</v>
      </c>
      <c r="D164" s="73">
        <v>4</v>
      </c>
      <c r="E164" s="3"/>
      <c r="F164" s="311">
        <v>42529</v>
      </c>
      <c r="G164" s="188">
        <f>12/C164</f>
        <v>0.22222222222222221</v>
      </c>
      <c r="J164"/>
      <c r="L164"/>
      <c r="M164"/>
      <c r="N164"/>
      <c r="R164"/>
    </row>
    <row r="165" spans="1:18" s="2" customFormat="1" x14ac:dyDescent="0.25">
      <c r="A165" s="3">
        <v>13</v>
      </c>
      <c r="B165" s="5" t="s">
        <v>1079</v>
      </c>
      <c r="C165" s="73">
        <v>45</v>
      </c>
      <c r="D165" s="73">
        <v>1</v>
      </c>
      <c r="E165" s="3"/>
      <c r="F165" s="311">
        <v>42536</v>
      </c>
      <c r="G165" s="188">
        <f>15/C165</f>
        <v>0.33333333333333331</v>
      </c>
    </row>
    <row r="166" spans="1:18" s="2" customFormat="1" x14ac:dyDescent="0.25">
      <c r="A166" s="3">
        <v>14</v>
      </c>
      <c r="B166" s="128" t="s">
        <v>1075</v>
      </c>
      <c r="C166" s="73">
        <v>60</v>
      </c>
      <c r="D166" s="73">
        <v>2</v>
      </c>
      <c r="E166" s="3"/>
      <c r="F166" s="363">
        <v>42542</v>
      </c>
      <c r="G166" s="188">
        <f>20/C166</f>
        <v>0.33333333333333331</v>
      </c>
    </row>
    <row r="167" spans="1:18" s="2" customFormat="1" x14ac:dyDescent="0.25">
      <c r="A167" s="3">
        <v>15</v>
      </c>
      <c r="B167" s="114" t="s">
        <v>1077</v>
      </c>
      <c r="C167" s="85">
        <v>60</v>
      </c>
      <c r="D167" s="58">
        <v>1</v>
      </c>
      <c r="E167" s="58"/>
      <c r="F167" s="311">
        <v>42550</v>
      </c>
      <c r="G167" s="188">
        <f>15/C167</f>
        <v>0.25</v>
      </c>
    </row>
    <row r="168" spans="1:18" s="2" customFormat="1" x14ac:dyDescent="0.25">
      <c r="A168" s="3">
        <v>16</v>
      </c>
      <c r="B168" s="114" t="s">
        <v>1081</v>
      </c>
      <c r="C168" s="58">
        <v>100</v>
      </c>
      <c r="D168" s="58">
        <v>1</v>
      </c>
      <c r="E168" s="58"/>
      <c r="F168" s="311">
        <v>42550</v>
      </c>
      <c r="G168" s="188">
        <f>29/C168</f>
        <v>0.28999999999999998</v>
      </c>
    </row>
    <row r="169" spans="1:18" s="2" customFormat="1" x14ac:dyDescent="0.25">
      <c r="A169" s="3">
        <v>17</v>
      </c>
      <c r="B169" s="114" t="s">
        <v>1078</v>
      </c>
      <c r="C169" s="85">
        <v>60</v>
      </c>
      <c r="D169" s="58">
        <v>2</v>
      </c>
      <c r="E169" s="58"/>
      <c r="F169" s="311">
        <v>42551</v>
      </c>
      <c r="G169" s="275" t="s">
        <v>1031</v>
      </c>
    </row>
    <row r="170" spans="1:18" s="2" customFormat="1" x14ac:dyDescent="0.25">
      <c r="A170" s="3">
        <v>18</v>
      </c>
      <c r="B170" s="114" t="s">
        <v>1083</v>
      </c>
      <c r="C170" s="58">
        <v>100</v>
      </c>
      <c r="D170" s="58">
        <v>6</v>
      </c>
      <c r="E170" s="58"/>
      <c r="F170" s="311">
        <v>42551</v>
      </c>
      <c r="G170" s="275" t="s">
        <v>1031</v>
      </c>
    </row>
    <row r="171" spans="1:18" s="2" customFormat="1" x14ac:dyDescent="0.25">
      <c r="A171" s="3">
        <v>19</v>
      </c>
      <c r="B171" s="114" t="s">
        <v>1089</v>
      </c>
      <c r="C171" s="58">
        <v>45</v>
      </c>
      <c r="D171" s="58">
        <v>0</v>
      </c>
      <c r="E171" s="58"/>
      <c r="F171" s="311">
        <v>42551</v>
      </c>
      <c r="G171" s="275" t="s">
        <v>1031</v>
      </c>
    </row>
    <row r="172" spans="1:18" s="2" customFormat="1" x14ac:dyDescent="0.25">
      <c r="A172" s="7">
        <v>20</v>
      </c>
      <c r="B172" s="386" t="s">
        <v>1100</v>
      </c>
      <c r="C172" s="79">
        <v>45</v>
      </c>
      <c r="D172" s="79">
        <v>1</v>
      </c>
      <c r="E172" s="79"/>
      <c r="F172" s="385">
        <v>42555</v>
      </c>
      <c r="G172" s="275" t="s">
        <v>1031</v>
      </c>
    </row>
    <row r="173" spans="1:18" s="2" customFormat="1" x14ac:dyDescent="0.25">
      <c r="A173" s="3">
        <v>21</v>
      </c>
      <c r="B173" s="85" t="s">
        <v>1084</v>
      </c>
      <c r="C173" s="58">
        <v>100</v>
      </c>
      <c r="D173" s="85">
        <v>4</v>
      </c>
      <c r="E173" s="58"/>
      <c r="F173" s="120">
        <v>42584</v>
      </c>
      <c r="G173" s="275" t="s">
        <v>1031</v>
      </c>
    </row>
    <row r="174" spans="1:18" s="2" customFormat="1" x14ac:dyDescent="0.25">
      <c r="A174" s="3">
        <v>24</v>
      </c>
      <c r="B174" s="85" t="s">
        <v>1065</v>
      </c>
      <c r="C174" s="85">
        <v>75</v>
      </c>
      <c r="D174" s="85">
        <v>2</v>
      </c>
      <c r="E174" s="58"/>
      <c r="F174" s="120">
        <v>42592</v>
      </c>
      <c r="G174" s="1"/>
    </row>
    <row r="175" spans="1:18" s="2" customFormat="1" x14ac:dyDescent="0.25">
      <c r="A175" s="7">
        <v>25</v>
      </c>
      <c r="B175" s="378" t="s">
        <v>1121</v>
      </c>
      <c r="F175" s="397">
        <v>42676</v>
      </c>
      <c r="G175" s="1"/>
    </row>
    <row r="176" spans="1:18" s="2" customFormat="1" x14ac:dyDescent="0.25">
      <c r="A176" s="240">
        <v>26</v>
      </c>
      <c r="B176" s="378" t="s">
        <v>1122</v>
      </c>
      <c r="F176" s="397">
        <v>42681</v>
      </c>
      <c r="G176" s="1"/>
    </row>
    <row r="177" spans="1:18" s="2" customFormat="1" x14ac:dyDescent="0.25">
      <c r="A177" s="1"/>
    </row>
    <row r="178" spans="1:18" ht="16.5" thickBot="1" x14ac:dyDescent="0.3">
      <c r="B178" s="100" t="s">
        <v>1067</v>
      </c>
      <c r="C178" t="s">
        <v>1066</v>
      </c>
      <c r="J178"/>
      <c r="L178"/>
      <c r="M178"/>
      <c r="N178"/>
      <c r="R178"/>
    </row>
    <row r="179" spans="1:18" ht="60.75" thickBot="1" x14ac:dyDescent="0.3">
      <c r="A179" s="36" t="s">
        <v>0</v>
      </c>
      <c r="B179" s="343" t="s">
        <v>1</v>
      </c>
      <c r="C179" s="53" t="s">
        <v>94</v>
      </c>
      <c r="D179" s="53" t="s">
        <v>95</v>
      </c>
      <c r="E179" s="53" t="s">
        <v>1080</v>
      </c>
      <c r="F179" s="53" t="s">
        <v>1097</v>
      </c>
      <c r="J179"/>
      <c r="L179"/>
      <c r="M179"/>
      <c r="N179"/>
      <c r="R179"/>
    </row>
    <row r="180" spans="1:18" x14ac:dyDescent="0.25">
      <c r="A180" s="344">
        <v>1</v>
      </c>
      <c r="B180" s="347" t="s">
        <v>1058</v>
      </c>
      <c r="C180">
        <v>45</v>
      </c>
      <c r="D180" s="347">
        <v>1</v>
      </c>
      <c r="E180" s="344">
        <v>1969</v>
      </c>
      <c r="F180" t="s">
        <v>1094</v>
      </c>
      <c r="H180">
        <v>1</v>
      </c>
      <c r="J180"/>
      <c r="L180"/>
      <c r="M180"/>
      <c r="N180"/>
      <c r="R180"/>
    </row>
    <row r="181" spans="1:18" x14ac:dyDescent="0.25">
      <c r="A181" s="345">
        <v>2</v>
      </c>
      <c r="B181" s="348" t="s">
        <v>1068</v>
      </c>
      <c r="C181">
        <v>60</v>
      </c>
      <c r="D181" s="348">
        <v>1</v>
      </c>
      <c r="E181" s="345">
        <v>1974</v>
      </c>
      <c r="H181">
        <v>6</v>
      </c>
      <c r="J181"/>
      <c r="L181"/>
      <c r="M181"/>
      <c r="N181"/>
      <c r="R181"/>
    </row>
    <row r="182" spans="1:18" x14ac:dyDescent="0.25">
      <c r="A182" s="345">
        <v>3</v>
      </c>
      <c r="B182" s="348" t="s">
        <v>1069</v>
      </c>
      <c r="C182">
        <v>100</v>
      </c>
      <c r="D182" s="348">
        <v>5</v>
      </c>
      <c r="E182" s="345">
        <v>1973</v>
      </c>
      <c r="H182">
        <v>5</v>
      </c>
      <c r="J182"/>
      <c r="L182"/>
      <c r="M182"/>
      <c r="N182"/>
      <c r="R182"/>
    </row>
    <row r="183" spans="1:18" x14ac:dyDescent="0.25">
      <c r="A183" s="345">
        <v>4</v>
      </c>
      <c r="B183" s="348" t="s">
        <v>1070</v>
      </c>
      <c r="C183">
        <v>45</v>
      </c>
      <c r="D183" s="348">
        <v>2</v>
      </c>
      <c r="E183" s="345">
        <v>1978</v>
      </c>
      <c r="H183">
        <v>10</v>
      </c>
      <c r="J183"/>
      <c r="L183"/>
      <c r="M183"/>
      <c r="N183"/>
      <c r="R183"/>
    </row>
    <row r="184" spans="1:18" x14ac:dyDescent="0.25">
      <c r="A184" s="345">
        <v>5</v>
      </c>
      <c r="B184" s="348" t="s">
        <v>1071</v>
      </c>
      <c r="C184">
        <v>100</v>
      </c>
      <c r="D184" s="348">
        <v>4</v>
      </c>
      <c r="E184" s="349">
        <v>1966</v>
      </c>
      <c r="H184">
        <v>2</v>
      </c>
      <c r="J184"/>
      <c r="L184"/>
      <c r="M184"/>
      <c r="N184"/>
      <c r="R184"/>
    </row>
    <row r="185" spans="1:18" x14ac:dyDescent="0.25">
      <c r="A185" s="345">
        <v>6</v>
      </c>
      <c r="B185" s="348" t="s">
        <v>1072</v>
      </c>
      <c r="C185">
        <v>45</v>
      </c>
      <c r="D185" s="348">
        <v>0</v>
      </c>
      <c r="E185" s="349">
        <v>1978</v>
      </c>
      <c r="H185">
        <v>9</v>
      </c>
      <c r="J185"/>
      <c r="L185"/>
      <c r="M185"/>
      <c r="N185"/>
      <c r="R185"/>
    </row>
    <row r="186" spans="1:18" x14ac:dyDescent="0.25">
      <c r="A186" s="345">
        <v>7</v>
      </c>
      <c r="B186" s="348" t="s">
        <v>1026</v>
      </c>
      <c r="C186">
        <v>45</v>
      </c>
      <c r="D186" s="348">
        <v>1</v>
      </c>
      <c r="E186" s="349">
        <v>1976</v>
      </c>
      <c r="F186" t="s">
        <v>1094</v>
      </c>
      <c r="H186">
        <v>7</v>
      </c>
      <c r="J186"/>
      <c r="L186"/>
      <c r="M186"/>
      <c r="N186"/>
      <c r="R186"/>
    </row>
    <row r="187" spans="1:18" x14ac:dyDescent="0.25">
      <c r="A187" s="345">
        <v>8</v>
      </c>
      <c r="B187" s="348" t="s">
        <v>1073</v>
      </c>
      <c r="C187">
        <v>45</v>
      </c>
      <c r="D187" s="348">
        <v>1</v>
      </c>
      <c r="E187" s="349">
        <v>1976</v>
      </c>
      <c r="H187">
        <v>8</v>
      </c>
      <c r="J187"/>
      <c r="L187"/>
      <c r="M187"/>
      <c r="N187"/>
      <c r="R187"/>
    </row>
    <row r="188" spans="1:18" x14ac:dyDescent="0.25">
      <c r="A188" s="345">
        <v>9</v>
      </c>
      <c r="B188" s="348" t="s">
        <v>1074</v>
      </c>
      <c r="C188">
        <v>50</v>
      </c>
      <c r="D188" s="348">
        <v>0</v>
      </c>
      <c r="E188" s="349">
        <v>1970</v>
      </c>
      <c r="H188">
        <v>4</v>
      </c>
      <c r="J188"/>
      <c r="L188"/>
      <c r="M188"/>
      <c r="N188"/>
      <c r="R188"/>
    </row>
    <row r="189" spans="1:18" x14ac:dyDescent="0.25">
      <c r="A189" s="346">
        <v>10</v>
      </c>
      <c r="B189" s="322" t="s">
        <v>1075</v>
      </c>
      <c r="C189" s="128">
        <v>60</v>
      </c>
      <c r="D189" s="322">
        <v>2</v>
      </c>
      <c r="E189" s="346">
        <v>1968</v>
      </c>
      <c r="F189" t="s">
        <v>1094</v>
      </c>
      <c r="H189">
        <v>3</v>
      </c>
      <c r="J189"/>
      <c r="L189"/>
      <c r="M189"/>
      <c r="N189"/>
      <c r="R189"/>
    </row>
    <row r="190" spans="1:18" s="2" customFormat="1" x14ac:dyDescent="0.25">
      <c r="A190" s="345">
        <v>11</v>
      </c>
      <c r="B190" s="348" t="s">
        <v>1098</v>
      </c>
      <c r="C190" s="47">
        <v>8</v>
      </c>
      <c r="D190" s="348">
        <v>0</v>
      </c>
      <c r="E190" s="345">
        <v>1955</v>
      </c>
    </row>
    <row r="191" spans="1:18" s="2" customFormat="1" x14ac:dyDescent="0.25">
      <c r="A191" s="345">
        <v>12</v>
      </c>
      <c r="B191" s="348" t="s">
        <v>1099</v>
      </c>
      <c r="C191" s="1">
        <v>7</v>
      </c>
      <c r="D191" s="348">
        <v>0</v>
      </c>
      <c r="E191" s="345">
        <v>1959</v>
      </c>
    </row>
    <row r="192" spans="1:18" s="2" customFormat="1" x14ac:dyDescent="0.25">
      <c r="A192" s="346">
        <v>13</v>
      </c>
      <c r="B192" s="322" t="s">
        <v>1102</v>
      </c>
      <c r="C192" s="128"/>
      <c r="D192" s="322"/>
      <c r="E192" s="346"/>
    </row>
    <row r="193" spans="1:18" x14ac:dyDescent="0.25">
      <c r="A193" s="345">
        <v>13</v>
      </c>
      <c r="B193" s="348" t="s">
        <v>1078</v>
      </c>
      <c r="C193" s="47">
        <v>60</v>
      </c>
      <c r="D193" s="348">
        <v>2</v>
      </c>
      <c r="E193" s="345">
        <v>1970</v>
      </c>
      <c r="F193" s="2" t="s">
        <v>1094</v>
      </c>
      <c r="H193">
        <v>11</v>
      </c>
      <c r="J193"/>
      <c r="L193"/>
      <c r="M193"/>
      <c r="N193"/>
      <c r="R193"/>
    </row>
    <row r="194" spans="1:18" x14ac:dyDescent="0.25">
      <c r="A194" s="346">
        <v>14</v>
      </c>
      <c r="B194" s="348" t="s">
        <v>1076</v>
      </c>
      <c r="C194" s="47">
        <v>60</v>
      </c>
      <c r="D194" s="348">
        <v>1</v>
      </c>
      <c r="E194" s="345">
        <v>1971</v>
      </c>
      <c r="H194">
        <v>12</v>
      </c>
      <c r="J194"/>
      <c r="L194"/>
      <c r="M194"/>
      <c r="N194"/>
      <c r="R194"/>
    </row>
    <row r="195" spans="1:18" x14ac:dyDescent="0.25">
      <c r="A195" s="345">
        <v>15</v>
      </c>
      <c r="B195" s="348" t="s">
        <v>1077</v>
      </c>
      <c r="C195" s="47">
        <v>60</v>
      </c>
      <c r="D195" s="348">
        <v>1</v>
      </c>
      <c r="E195" s="345">
        <v>1972</v>
      </c>
      <c r="F195" t="s">
        <v>1094</v>
      </c>
      <c r="H195">
        <v>13</v>
      </c>
      <c r="J195"/>
      <c r="L195"/>
      <c r="M195"/>
      <c r="N195"/>
      <c r="R195"/>
    </row>
    <row r="196" spans="1:18" x14ac:dyDescent="0.25">
      <c r="A196" s="346">
        <v>16</v>
      </c>
      <c r="B196" s="348" t="s">
        <v>1079</v>
      </c>
      <c r="C196" s="47">
        <v>45</v>
      </c>
      <c r="D196" s="348">
        <v>1</v>
      </c>
      <c r="E196" s="345">
        <v>1974</v>
      </c>
      <c r="F196" s="2" t="s">
        <v>1094</v>
      </c>
      <c r="H196">
        <v>14</v>
      </c>
      <c r="J196"/>
      <c r="L196"/>
      <c r="M196"/>
      <c r="N196"/>
      <c r="R196"/>
    </row>
    <row r="197" spans="1:18" s="2" customFormat="1" x14ac:dyDescent="0.25">
      <c r="A197" s="345">
        <v>17</v>
      </c>
      <c r="B197" s="348" t="s">
        <v>1064</v>
      </c>
      <c r="C197" s="2">
        <v>100</v>
      </c>
      <c r="D197" s="348">
        <v>10</v>
      </c>
      <c r="E197" s="345">
        <v>1972</v>
      </c>
      <c r="F197" s="2" t="s">
        <v>1094</v>
      </c>
      <c r="H197" s="2">
        <v>17</v>
      </c>
    </row>
    <row r="198" spans="1:18" x14ac:dyDescent="0.25">
      <c r="A198" s="346">
        <v>18</v>
      </c>
      <c r="B198" s="348" t="s">
        <v>1081</v>
      </c>
      <c r="C198">
        <v>100</v>
      </c>
      <c r="D198" s="348">
        <v>1</v>
      </c>
      <c r="E198" s="345">
        <v>1970</v>
      </c>
      <c r="F198" t="s">
        <v>1094</v>
      </c>
      <c r="H198">
        <v>15</v>
      </c>
      <c r="J198"/>
      <c r="L198"/>
      <c r="M198"/>
      <c r="N198"/>
      <c r="R198"/>
    </row>
    <row r="199" spans="1:18" x14ac:dyDescent="0.25">
      <c r="A199" s="345">
        <v>19</v>
      </c>
      <c r="B199" s="348" t="s">
        <v>1083</v>
      </c>
      <c r="C199">
        <v>100</v>
      </c>
      <c r="D199" s="348">
        <v>6</v>
      </c>
      <c r="E199" s="345">
        <v>1973</v>
      </c>
      <c r="F199" s="2" t="s">
        <v>1094</v>
      </c>
      <c r="H199">
        <v>19</v>
      </c>
      <c r="J199"/>
      <c r="L199"/>
      <c r="M199"/>
      <c r="N199"/>
      <c r="R199"/>
    </row>
    <row r="200" spans="1:18" x14ac:dyDescent="0.25">
      <c r="A200" s="346">
        <v>20</v>
      </c>
      <c r="B200" s="348" t="s">
        <v>1084</v>
      </c>
      <c r="C200">
        <v>100</v>
      </c>
      <c r="D200" s="348">
        <v>4</v>
      </c>
      <c r="E200" s="345">
        <v>1972</v>
      </c>
      <c r="F200" s="2" t="s">
        <v>1094</v>
      </c>
      <c r="H200">
        <v>18</v>
      </c>
      <c r="J200"/>
      <c r="L200"/>
      <c r="M200"/>
      <c r="N200"/>
      <c r="R200"/>
    </row>
    <row r="201" spans="1:18" x14ac:dyDescent="0.25">
      <c r="A201" s="345">
        <v>21</v>
      </c>
      <c r="B201" s="348" t="s">
        <v>1082</v>
      </c>
      <c r="C201">
        <v>50</v>
      </c>
      <c r="D201" s="348">
        <v>5</v>
      </c>
      <c r="E201" s="345">
        <v>1971</v>
      </c>
      <c r="H201">
        <v>16</v>
      </c>
      <c r="J201"/>
      <c r="L201"/>
      <c r="M201"/>
      <c r="N201"/>
      <c r="R201"/>
    </row>
    <row r="202" spans="1:18" x14ac:dyDescent="0.25">
      <c r="A202" s="346">
        <v>22</v>
      </c>
      <c r="B202" s="348" t="s">
        <v>1085</v>
      </c>
      <c r="C202">
        <v>45</v>
      </c>
      <c r="D202" s="348">
        <v>2</v>
      </c>
      <c r="E202" s="345">
        <v>1976</v>
      </c>
      <c r="H202">
        <v>23</v>
      </c>
      <c r="J202"/>
      <c r="L202"/>
      <c r="M202"/>
      <c r="N202"/>
      <c r="R202"/>
    </row>
    <row r="203" spans="1:18" x14ac:dyDescent="0.25">
      <c r="A203" s="345">
        <v>23</v>
      </c>
      <c r="B203" s="348" t="s">
        <v>1086</v>
      </c>
      <c r="C203">
        <v>20</v>
      </c>
      <c r="D203" s="348">
        <v>0</v>
      </c>
      <c r="E203" s="345">
        <v>1978</v>
      </c>
      <c r="H203">
        <v>26</v>
      </c>
      <c r="J203"/>
      <c r="L203"/>
      <c r="M203"/>
      <c r="N203"/>
      <c r="R203"/>
    </row>
    <row r="204" spans="1:18" x14ac:dyDescent="0.25">
      <c r="A204" s="346">
        <v>24</v>
      </c>
      <c r="B204" s="348" t="s">
        <v>1087</v>
      </c>
      <c r="C204">
        <v>45</v>
      </c>
      <c r="D204" s="348">
        <v>2</v>
      </c>
      <c r="E204" s="345">
        <v>1975</v>
      </c>
      <c r="H204">
        <v>20</v>
      </c>
      <c r="J204"/>
      <c r="L204"/>
      <c r="M204"/>
      <c r="N204"/>
      <c r="R204"/>
    </row>
    <row r="205" spans="1:18" x14ac:dyDescent="0.25">
      <c r="A205" s="345">
        <v>25</v>
      </c>
      <c r="B205" s="348" t="s">
        <v>1088</v>
      </c>
      <c r="C205">
        <v>45</v>
      </c>
      <c r="D205" s="348">
        <v>0</v>
      </c>
      <c r="E205" s="345">
        <v>1976</v>
      </c>
      <c r="H205">
        <v>24</v>
      </c>
      <c r="J205"/>
      <c r="L205"/>
      <c r="M205"/>
      <c r="N205"/>
      <c r="R205"/>
    </row>
    <row r="206" spans="1:18" x14ac:dyDescent="0.25">
      <c r="A206" s="346">
        <v>26</v>
      </c>
      <c r="B206" s="348" t="s">
        <v>1089</v>
      </c>
      <c r="C206">
        <v>45</v>
      </c>
      <c r="D206" s="348">
        <v>0</v>
      </c>
      <c r="E206" s="345">
        <v>1976</v>
      </c>
      <c r="F206" s="2" t="s">
        <v>1094</v>
      </c>
      <c r="H206">
        <v>21</v>
      </c>
      <c r="J206"/>
      <c r="L206"/>
      <c r="M206"/>
      <c r="N206"/>
      <c r="R206"/>
    </row>
    <row r="207" spans="1:18" x14ac:dyDescent="0.25">
      <c r="A207" s="345">
        <v>27</v>
      </c>
      <c r="B207" s="348" t="s">
        <v>1065</v>
      </c>
      <c r="C207">
        <v>75</v>
      </c>
      <c r="D207" s="348">
        <v>2</v>
      </c>
      <c r="E207" s="345">
        <v>1976</v>
      </c>
      <c r="F207" t="s">
        <v>1094</v>
      </c>
      <c r="H207">
        <v>22</v>
      </c>
      <c r="J207"/>
      <c r="L207"/>
      <c r="M207"/>
      <c r="N207"/>
      <c r="R207"/>
    </row>
    <row r="208" spans="1:18" x14ac:dyDescent="0.25">
      <c r="A208" s="346">
        <v>28</v>
      </c>
      <c r="B208" s="348" t="s">
        <v>1090</v>
      </c>
      <c r="C208">
        <v>75</v>
      </c>
      <c r="D208" s="348">
        <v>0</v>
      </c>
      <c r="E208" s="345">
        <v>1984</v>
      </c>
      <c r="H208">
        <v>28</v>
      </c>
      <c r="J208"/>
      <c r="L208"/>
      <c r="M208"/>
      <c r="N208"/>
      <c r="R208"/>
    </row>
    <row r="209" spans="1:18" x14ac:dyDescent="0.25">
      <c r="A209" s="345">
        <v>29</v>
      </c>
      <c r="B209" s="348" t="s">
        <v>1092</v>
      </c>
      <c r="C209">
        <v>54</v>
      </c>
      <c r="D209" s="348">
        <v>0</v>
      </c>
      <c r="E209" s="345">
        <v>1977</v>
      </c>
      <c r="F209" t="s">
        <v>1094</v>
      </c>
      <c r="H209">
        <v>25</v>
      </c>
      <c r="J209"/>
      <c r="L209"/>
      <c r="M209"/>
      <c r="N209"/>
      <c r="R209"/>
    </row>
    <row r="210" spans="1:18" x14ac:dyDescent="0.25">
      <c r="A210" s="346">
        <v>30</v>
      </c>
      <c r="B210" s="322" t="s">
        <v>1091</v>
      </c>
      <c r="C210" s="128">
        <v>54</v>
      </c>
      <c r="D210" s="322">
        <v>1</v>
      </c>
      <c r="E210" s="346">
        <v>1978</v>
      </c>
      <c r="H210">
        <v>27</v>
      </c>
      <c r="J210"/>
      <c r="L210"/>
      <c r="M210"/>
      <c r="N210"/>
      <c r="R210"/>
    </row>
  </sheetData>
  <mergeCells count="3">
    <mergeCell ref="A1:B1"/>
    <mergeCell ref="A49:B49"/>
    <mergeCell ref="A79:B79"/>
  </mergeCells>
  <pageMargins left="0.25" right="0.25" top="0.75" bottom="0.75" header="0.3" footer="0.3"/>
  <pageSetup paperSize="9" scale="66" fitToHeight="0" orientation="landscape" horizontalDpi="300" verticalDpi="300" r:id="rId1"/>
  <headerFooter differentFirst="1">
    <oddHeader>&amp;C&amp;P</oddHeader>
  </headerFooter>
  <rowBreaks count="2" manualBreakCount="2">
    <brk id="48" max="18" man="1"/>
    <brk id="94" max="1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2</vt:i4>
      </vt:variant>
    </vt:vector>
  </HeadingPairs>
  <TitlesOfParts>
    <vt:vector size="9" baseType="lpstr">
      <vt:lpstr>Bendras sąrašas</vt:lpstr>
      <vt:lpstr>Po susirinkimų</vt:lpstr>
      <vt:lpstr>Kiti renovuoti daugiabučiai</vt:lpstr>
      <vt:lpstr>Savivaldybės butai</vt:lpstr>
      <vt:lpstr>Savivaldybės butai II</vt:lpstr>
      <vt:lpstr>Visi daugiabučiai</vt:lpstr>
      <vt:lpstr>Senas sąrašas</vt:lpstr>
      <vt:lpstr>'Bendras sąrašas'!Print_Area</vt:lpstr>
      <vt:lpstr>'Senas sąrašas'!Print_Area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2018-07-04T11:47:39Z</dcterms:modified>
</cp:coreProperties>
</file>