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20730" windowHeight="9510" tabRatio="888" activeTab="6"/>
  </bookViews>
  <sheets>
    <sheet name="1 programa" sheetId="4" r:id="rId1"/>
    <sheet name="2 programa" sheetId="49" r:id="rId2"/>
    <sheet name="3 programa" sheetId="13" r:id="rId3"/>
    <sheet name="4 programa" sheetId="18" r:id="rId4"/>
    <sheet name="5 programa" sheetId="23" r:id="rId5"/>
    <sheet name="6 programa" sheetId="28" r:id="rId6"/>
    <sheet name="7 programa" sheetId="7" r:id="rId7"/>
    <sheet name="8 programa" sheetId="34" r:id="rId8"/>
    <sheet name="9priedas (suma)" sheetId="43" r:id="rId9"/>
    <sheet name="1-1b" sheetId="11" r:id="rId10"/>
    <sheet name="2-1b" sheetId="45" r:id="rId11"/>
    <sheet name="3-1b" sheetId="16" r:id="rId12"/>
    <sheet name="4-1b" sheetId="21" r:id="rId13"/>
    <sheet name="5-1b" sheetId="26" r:id="rId14"/>
    <sheet name="6-1b" sheetId="31" r:id="rId15"/>
    <sheet name="7-1b" sheetId="10" r:id="rId16"/>
    <sheet name="8-1b" sheetId="35" r:id="rId17"/>
  </sheets>
  <definedNames>
    <definedName name="_xlnm.Print_Area" localSheetId="0">'1 programa'!$A$1:$N$207</definedName>
    <definedName name="_xlnm.Print_Area" localSheetId="1">'2 programa'!$A$1:$N$153</definedName>
    <definedName name="_xlnm.Print_Area" localSheetId="2">'3 programa'!$A$1:$N$54</definedName>
    <definedName name="_xlnm.Print_Area" localSheetId="3">'4 programa'!$A$1:$N$66</definedName>
    <definedName name="_xlnm.Print_Area" localSheetId="4">'5 programa'!$A$1:$N$64</definedName>
    <definedName name="_xlnm.Print_Area" localSheetId="5">'6 programa'!$A$1:$N$90</definedName>
    <definedName name="_xlnm.Print_Area" localSheetId="6">'7 programa'!$A$1:$N$287</definedName>
    <definedName name="_xlnm.Print_Area" localSheetId="7">'8 programa'!$A$1:$N$151</definedName>
    <definedName name="_xlnm.Print_Area" localSheetId="8">'9priedas (suma)'!$A$1:$F$20</definedName>
    <definedName name="_xlnm.Print_Titles" localSheetId="1">'2 programa'!$A:$N,'2 programa'!#REF!</definedName>
    <definedName name="_xlnm.Print_Titles" localSheetId="2">'3 programa'!$A:$N,'3 programa'!#REF!</definedName>
    <definedName name="_xlnm.Print_Titles" localSheetId="4">'5 programa'!$A:$N,'5 programa'!#REF!</definedName>
    <definedName name="_xlnm.Print_Titles" localSheetId="5">'6 programa'!$A:$N,'6 programa'!#REF!</definedName>
  </definedNames>
  <calcPr calcId="145621"/>
</workbook>
</file>

<file path=xl/calcChain.xml><?xml version="1.0" encoding="utf-8"?>
<calcChain xmlns="http://schemas.openxmlformats.org/spreadsheetml/2006/main">
  <c r="C4" i="10" l="1"/>
  <c r="C3" i="10" s="1"/>
  <c r="C5" i="10"/>
  <c r="C6" i="10"/>
  <c r="C7" i="10"/>
  <c r="C8" i="10"/>
  <c r="C9" i="10"/>
  <c r="C10" i="10"/>
  <c r="C11" i="10"/>
  <c r="C12" i="10"/>
  <c r="C13" i="10"/>
  <c r="C14" i="10"/>
  <c r="C2" i="10"/>
  <c r="J252" i="7" l="1"/>
  <c r="I252" i="7"/>
  <c r="J254" i="7"/>
  <c r="I254" i="7"/>
  <c r="I157" i="7"/>
  <c r="J157" i="7"/>
  <c r="J115" i="7"/>
  <c r="J116" i="7" s="1"/>
  <c r="I115" i="7"/>
  <c r="J30" i="7"/>
  <c r="I30" i="7"/>
  <c r="H62" i="28"/>
  <c r="H66" i="28" s="1"/>
  <c r="H65" i="28"/>
  <c r="H67" i="28"/>
  <c r="H69" i="28" s="1"/>
  <c r="H72" i="28"/>
  <c r="H74" i="28"/>
  <c r="J21" i="23"/>
  <c r="I21" i="23"/>
  <c r="H18" i="23"/>
  <c r="I85" i="49"/>
  <c r="I10" i="49" l="1"/>
  <c r="J10" i="49"/>
  <c r="H10" i="49"/>
  <c r="H61" i="49"/>
  <c r="H11" i="49"/>
  <c r="H21" i="49"/>
  <c r="J13" i="49"/>
  <c r="I13" i="49"/>
  <c r="H15" i="49"/>
  <c r="J97" i="49"/>
  <c r="I97" i="49"/>
  <c r="H97" i="49"/>
  <c r="H105" i="49" s="1"/>
  <c r="H83" i="49"/>
  <c r="H98" i="49"/>
  <c r="H66" i="49"/>
  <c r="H94" i="49"/>
  <c r="H72" i="49"/>
  <c r="I75" i="49"/>
  <c r="J75" i="49" s="1"/>
  <c r="I62" i="49"/>
  <c r="J62" i="49" s="1"/>
  <c r="H69" i="49"/>
  <c r="I67" i="49"/>
  <c r="J67" i="49" s="1"/>
  <c r="I116" i="49"/>
  <c r="I9" i="49"/>
  <c r="J9" i="49" s="1"/>
  <c r="I122" i="49"/>
  <c r="I28" i="49"/>
  <c r="J28" i="49" s="1"/>
  <c r="I106" i="49"/>
  <c r="J106" i="49" s="1"/>
  <c r="I132" i="49"/>
  <c r="J132" i="49" s="1"/>
  <c r="I130" i="49"/>
  <c r="J130" i="49" s="1"/>
  <c r="I113" i="49"/>
  <c r="I111" i="49"/>
  <c r="I59" i="49"/>
  <c r="I102" i="49"/>
  <c r="J102" i="49" s="1"/>
  <c r="J68" i="4"/>
  <c r="I68" i="4"/>
  <c r="J50" i="28"/>
  <c r="I50" i="28"/>
  <c r="H50" i="28"/>
  <c r="J47" i="28"/>
  <c r="I47" i="28"/>
  <c r="H36" i="28"/>
  <c r="H40" i="28" s="1"/>
  <c r="H54" i="28" s="1"/>
  <c r="I57" i="28"/>
  <c r="J57" i="28" s="1"/>
  <c r="I68" i="28"/>
  <c r="J68" i="28" s="1"/>
  <c r="J69" i="28" s="1"/>
  <c r="I67" i="28"/>
  <c r="J67" i="28" s="1"/>
  <c r="I73" i="28"/>
  <c r="J73" i="28" s="1"/>
  <c r="I51" i="28"/>
  <c r="J51" i="28" s="1"/>
  <c r="I55" i="28"/>
  <c r="J55" i="28" s="1"/>
  <c r="I30" i="28"/>
  <c r="J30" i="28" s="1"/>
  <c r="I63" i="28"/>
  <c r="J63" i="28" s="1"/>
  <c r="I61" i="28"/>
  <c r="J61" i="28" s="1"/>
  <c r="H37" i="13"/>
  <c r="I256" i="7"/>
  <c r="J256" i="7" s="1"/>
  <c r="H256" i="7"/>
  <c r="H249" i="7"/>
  <c r="I249" i="7" s="1"/>
  <c r="J249" i="7" s="1"/>
  <c r="H16" i="34"/>
  <c r="I16" i="34" s="1"/>
  <c r="J16" i="34" s="1"/>
  <c r="H229" i="7"/>
  <c r="H188" i="7"/>
  <c r="I18" i="7"/>
  <c r="J18" i="7" s="1"/>
  <c r="I13" i="7"/>
  <c r="J13" i="7" s="1"/>
  <c r="I14" i="7"/>
  <c r="J14" i="7" s="1"/>
  <c r="I15" i="7"/>
  <c r="J15" i="7" s="1"/>
  <c r="I16" i="7"/>
  <c r="J16" i="7" s="1"/>
  <c r="I17" i="7"/>
  <c r="J17" i="7" s="1"/>
  <c r="I11" i="7"/>
  <c r="J11" i="7" s="1"/>
  <c r="I10" i="7"/>
  <c r="J10" i="7" s="1"/>
  <c r="J12" i="7"/>
  <c r="I12" i="7"/>
  <c r="I9" i="7"/>
  <c r="J9" i="7" s="1"/>
  <c r="H125" i="34"/>
  <c r="H118" i="34"/>
  <c r="I118" i="34" s="1"/>
  <c r="J118" i="34" s="1"/>
  <c r="H134" i="34"/>
  <c r="I134" i="34" s="1"/>
  <c r="J134" i="34" s="1"/>
  <c r="I101" i="34"/>
  <c r="J101" i="34" s="1"/>
  <c r="I125" i="34"/>
  <c r="J125" i="34" s="1"/>
  <c r="I12" i="34"/>
  <c r="I110" i="34"/>
  <c r="J110" i="34" s="1"/>
  <c r="I114" i="34"/>
  <c r="J114" i="34" s="1"/>
  <c r="I99" i="34"/>
  <c r="J99" i="34" s="1"/>
  <c r="J129" i="34"/>
  <c r="I129" i="34"/>
  <c r="I112" i="34"/>
  <c r="J112" i="34" s="1"/>
  <c r="J91" i="34"/>
  <c r="I91" i="34"/>
  <c r="I86" i="34"/>
  <c r="J86" i="34" s="1"/>
  <c r="I23" i="34"/>
  <c r="H9" i="34"/>
  <c r="I69" i="28" l="1"/>
  <c r="H84" i="4"/>
  <c r="H96" i="4"/>
  <c r="H88" i="4"/>
  <c r="H92" i="4"/>
  <c r="H94" i="4"/>
  <c r="H28" i="4"/>
  <c r="H43" i="13"/>
  <c r="H11" i="13"/>
  <c r="I24" i="23"/>
  <c r="J24" i="23" s="1"/>
  <c r="I18" i="23"/>
  <c r="J18" i="23" s="1"/>
  <c r="H39" i="23"/>
  <c r="J12" i="23"/>
  <c r="I12" i="23"/>
  <c r="I8" i="23"/>
  <c r="J8" i="23" s="1"/>
  <c r="J30" i="23"/>
  <c r="I30" i="23"/>
  <c r="H134" i="4"/>
  <c r="H206" i="4"/>
  <c r="H62" i="4"/>
  <c r="H171" i="4"/>
  <c r="H178" i="4"/>
  <c r="M100" i="4"/>
  <c r="N100" i="4"/>
  <c r="L100" i="4"/>
  <c r="I182" i="4"/>
  <c r="J182" i="4" s="1"/>
  <c r="J185" i="4"/>
  <c r="I185" i="4"/>
  <c r="I189" i="4"/>
  <c r="I166" i="4"/>
  <c r="J166" i="4" s="1"/>
  <c r="H162" i="4"/>
  <c r="I154" i="4"/>
  <c r="J154" i="4" s="1"/>
  <c r="H148" i="4"/>
  <c r="I143" i="4"/>
  <c r="H141" i="4"/>
  <c r="I138" i="4"/>
  <c r="J138" i="4" s="1"/>
  <c r="H127" i="4"/>
  <c r="I121" i="4"/>
  <c r="J121" i="4" s="1"/>
  <c r="I119" i="4"/>
  <c r="I115" i="4"/>
  <c r="J115" i="4" s="1"/>
  <c r="I113" i="4"/>
  <c r="J113" i="4" s="1"/>
  <c r="I111" i="4"/>
  <c r="J111" i="4" s="1"/>
  <c r="I109" i="4"/>
  <c r="J109" i="4" s="1"/>
  <c r="H90" i="4"/>
  <c r="H86" i="4"/>
  <c r="H98" i="4"/>
  <c r="H63" i="4"/>
  <c r="H60" i="4"/>
  <c r="H58" i="4"/>
  <c r="H56" i="4"/>
  <c r="H54" i="4"/>
  <c r="H52" i="4"/>
  <c r="H50" i="4"/>
  <c r="H48" i="4"/>
  <c r="H46" i="4"/>
  <c r="H44" i="4"/>
  <c r="H42" i="4"/>
  <c r="H40" i="4"/>
  <c r="H38" i="4"/>
  <c r="H36" i="4"/>
  <c r="H34" i="4"/>
  <c r="H32" i="4"/>
  <c r="H30" i="4"/>
  <c r="H100" i="4" l="1"/>
  <c r="I197" i="7"/>
  <c r="J197" i="7"/>
  <c r="H197" i="7"/>
  <c r="J201" i="7"/>
  <c r="I201" i="7"/>
  <c r="H201" i="7"/>
  <c r="J199" i="7"/>
  <c r="I199" i="7"/>
  <c r="H199" i="7"/>
  <c r="J118" i="7"/>
  <c r="I118" i="7"/>
  <c r="H118" i="7"/>
  <c r="I257" i="7"/>
  <c r="J257" i="7"/>
  <c r="H257" i="7"/>
  <c r="H244" i="7"/>
  <c r="J237" i="7"/>
  <c r="I237" i="7"/>
  <c r="H237" i="7"/>
  <c r="I242" i="7"/>
  <c r="J242" i="7"/>
  <c r="I215" i="7"/>
  <c r="J215" i="7"/>
  <c r="H215" i="7"/>
  <c r="J235" i="7"/>
  <c r="I235" i="7"/>
  <c r="H235" i="7"/>
  <c r="H207" i="7"/>
  <c r="H210" i="7" s="1"/>
  <c r="J210" i="7"/>
  <c r="I210" i="7"/>
  <c r="J212" i="7"/>
  <c r="I212" i="7"/>
  <c r="H212" i="7"/>
  <c r="I227" i="7"/>
  <c r="J227" i="7"/>
  <c r="H225" i="7"/>
  <c r="H227" i="7" s="1"/>
  <c r="I224" i="7"/>
  <c r="J224" i="7"/>
  <c r="H224" i="7"/>
  <c r="H220" i="7"/>
  <c r="J186" i="7"/>
  <c r="I186" i="7"/>
  <c r="H186" i="7"/>
  <c r="I189" i="7"/>
  <c r="J189" i="7"/>
  <c r="I184" i="7"/>
  <c r="J184" i="7"/>
  <c r="H179" i="7"/>
  <c r="H184" i="7" s="1"/>
  <c r="H154" i="7"/>
  <c r="H157" i="7" s="1"/>
  <c r="H148" i="7"/>
  <c r="H150" i="7" s="1"/>
  <c r="I150" i="7"/>
  <c r="J150" i="7"/>
  <c r="I132" i="7"/>
  <c r="J132" i="7"/>
  <c r="H127" i="7"/>
  <c r="H132" i="7" s="1"/>
  <c r="I126" i="7" l="1"/>
  <c r="J126" i="7"/>
  <c r="H121" i="7"/>
  <c r="H126" i="7" s="1"/>
  <c r="H222" i="7" l="1"/>
  <c r="J222" i="7"/>
  <c r="I222" i="7"/>
  <c r="I219" i="7"/>
  <c r="J219" i="7"/>
  <c r="H219" i="7"/>
  <c r="I193" i="7"/>
  <c r="J193" i="7"/>
  <c r="I138" i="7"/>
  <c r="J138" i="7"/>
  <c r="I136" i="7"/>
  <c r="J136" i="7"/>
  <c r="H30" i="7"/>
  <c r="J170" i="7"/>
  <c r="I170" i="7"/>
  <c r="H170" i="7"/>
  <c r="H187" i="7"/>
  <c r="H189" i="7" s="1"/>
  <c r="H177" i="7"/>
  <c r="H178" i="7" s="1"/>
  <c r="J178" i="7"/>
  <c r="I178" i="7"/>
  <c r="J176" i="7"/>
  <c r="I176" i="7"/>
  <c r="H176" i="7"/>
  <c r="J174" i="7"/>
  <c r="I174" i="7"/>
  <c r="H174" i="7"/>
  <c r="H172" i="7"/>
  <c r="J172" i="7"/>
  <c r="I172" i="7"/>
  <c r="H167" i="7"/>
  <c r="H168" i="7" s="1"/>
  <c r="J168" i="7"/>
  <c r="I168" i="7"/>
  <c r="J166" i="7"/>
  <c r="I166" i="7"/>
  <c r="H166" i="7"/>
  <c r="H162" i="7"/>
  <c r="H164" i="7" s="1"/>
  <c r="J164" i="7"/>
  <c r="I164" i="7"/>
  <c r="J161" i="7"/>
  <c r="I161" i="7"/>
  <c r="H161" i="7"/>
  <c r="J159" i="7"/>
  <c r="I159" i="7"/>
  <c r="H159" i="7"/>
  <c r="H151" i="7"/>
  <c r="H153" i="7" s="1"/>
  <c r="J153" i="7"/>
  <c r="I153" i="7"/>
  <c r="H144" i="7"/>
  <c r="H147" i="7" s="1"/>
  <c r="J147" i="7"/>
  <c r="I147" i="7"/>
  <c r="J143" i="7"/>
  <c r="I143" i="7"/>
  <c r="H143" i="7"/>
  <c r="H139" i="7"/>
  <c r="H141" i="7" s="1"/>
  <c r="J141" i="7"/>
  <c r="I141" i="7"/>
  <c r="H138" i="7"/>
  <c r="H133" i="7"/>
  <c r="H136" i="7" s="1"/>
  <c r="H193" i="7"/>
  <c r="I206" i="7"/>
  <c r="I216" i="7" s="1"/>
  <c r="J206" i="7"/>
  <c r="J216" i="7" s="1"/>
  <c r="H206" i="7"/>
  <c r="H216" i="7" s="1"/>
  <c r="H78" i="7"/>
  <c r="I78" i="7" s="1"/>
  <c r="J78" i="7" s="1"/>
  <c r="I96" i="7"/>
  <c r="J96" i="7"/>
  <c r="H96" i="7"/>
  <c r="I93" i="7"/>
  <c r="J93" i="7" s="1"/>
  <c r="H90" i="7"/>
  <c r="I90" i="7" s="1"/>
  <c r="J90" i="7" s="1"/>
  <c r="H87" i="7"/>
  <c r="I87" i="7" s="1"/>
  <c r="J87" i="7" s="1"/>
  <c r="H75" i="7"/>
  <c r="I75" i="7" s="1"/>
  <c r="J75" i="7" s="1"/>
  <c r="H72" i="7"/>
  <c r="I72" i="7" s="1"/>
  <c r="J72" i="7" s="1"/>
  <c r="H84" i="7"/>
  <c r="I84" i="7" s="1"/>
  <c r="J84" i="7" s="1"/>
  <c r="H81" i="7"/>
  <c r="I81" i="7" s="1"/>
  <c r="J81" i="7" s="1"/>
  <c r="J202" i="7" l="1"/>
  <c r="H202" i="7"/>
  <c r="I202" i="7"/>
  <c r="H228" i="7"/>
  <c r="J228" i="7"/>
  <c r="I228" i="7"/>
  <c r="J112" i="7"/>
  <c r="I112" i="7"/>
  <c r="H112" i="7"/>
  <c r="N111" i="4"/>
  <c r="M111" i="4"/>
  <c r="L111" i="4"/>
  <c r="I98" i="4"/>
  <c r="J98" i="4" s="1"/>
  <c r="I99" i="4"/>
  <c r="J99" i="4" s="1"/>
  <c r="I81" i="4"/>
  <c r="J81" i="4" s="1"/>
  <c r="I80" i="4"/>
  <c r="J80" i="4" s="1"/>
  <c r="H69" i="4"/>
  <c r="I41" i="28" l="1"/>
  <c r="J41" i="28"/>
  <c r="H41" i="28"/>
  <c r="I21" i="28"/>
  <c r="J21" i="28"/>
  <c r="I13" i="28"/>
  <c r="J13" i="28"/>
  <c r="I8" i="28"/>
  <c r="J8" i="28"/>
  <c r="H8" i="28"/>
  <c r="H27" i="28"/>
  <c r="I27" i="28" s="1"/>
  <c r="J27" i="28" s="1"/>
  <c r="H21" i="28"/>
  <c r="H13" i="28"/>
  <c r="I71" i="4" l="1"/>
  <c r="J71" i="4"/>
  <c r="H71" i="4"/>
  <c r="I36" i="28"/>
  <c r="J36" i="28"/>
  <c r="I39" i="28"/>
  <c r="J39" i="28"/>
  <c r="H39" i="28"/>
  <c r="I48" i="23" l="1"/>
  <c r="J48" i="23"/>
  <c r="H48" i="23"/>
  <c r="J45" i="23"/>
  <c r="I45" i="23"/>
  <c r="H45" i="23"/>
  <c r="J42" i="23" l="1"/>
  <c r="I42" i="23"/>
  <c r="H42" i="23"/>
  <c r="J39" i="23"/>
  <c r="I39" i="23"/>
  <c r="H135" i="34"/>
  <c r="H141" i="34"/>
  <c r="J38" i="18"/>
  <c r="I38" i="18"/>
  <c r="H38" i="18"/>
  <c r="J40" i="18"/>
  <c r="I40" i="18"/>
  <c r="H40" i="18"/>
  <c r="J50" i="18"/>
  <c r="I50" i="18"/>
  <c r="H50" i="18"/>
  <c r="J48" i="18"/>
  <c r="I48" i="18"/>
  <c r="H48" i="18"/>
  <c r="J46" i="18"/>
  <c r="I46" i="18"/>
  <c r="H46" i="18"/>
  <c r="I44" i="18"/>
  <c r="J44" i="18"/>
  <c r="H44" i="18"/>
  <c r="J51" i="18" l="1"/>
  <c r="I51" i="18"/>
  <c r="H51" i="18"/>
  <c r="M26" i="18"/>
  <c r="N26" i="18" s="1"/>
  <c r="I20" i="18"/>
  <c r="I21" i="18" s="1"/>
  <c r="J20" i="18"/>
  <c r="J21" i="18" s="1"/>
  <c r="H20" i="18"/>
  <c r="H21" i="18" s="1"/>
  <c r="J38" i="13" l="1"/>
  <c r="J39" i="13" s="1"/>
  <c r="J40" i="13" s="1"/>
  <c r="I38" i="13"/>
  <c r="I39" i="13" s="1"/>
  <c r="I40" i="13" s="1"/>
  <c r="H38" i="13"/>
  <c r="H39" i="13" s="1"/>
  <c r="H40" i="13" s="1"/>
  <c r="H9" i="13"/>
  <c r="H10" i="13" s="1"/>
  <c r="I9" i="13"/>
  <c r="I10" i="13" s="1"/>
  <c r="J9" i="13"/>
  <c r="J10" i="13" s="1"/>
  <c r="I11" i="13"/>
  <c r="J11" i="13" s="1"/>
  <c r="J43" i="13" s="1"/>
  <c r="I13" i="13"/>
  <c r="J13" i="13" s="1"/>
  <c r="H14" i="13"/>
  <c r="I15" i="13"/>
  <c r="J15" i="13"/>
  <c r="I17" i="13"/>
  <c r="J17" i="13"/>
  <c r="I18" i="13"/>
  <c r="J18" i="13"/>
  <c r="I19" i="13"/>
  <c r="J19" i="13"/>
  <c r="I20" i="13"/>
  <c r="J20" i="13"/>
  <c r="I21" i="13"/>
  <c r="J21" i="13"/>
  <c r="I22" i="13"/>
  <c r="J22" i="13"/>
  <c r="H23" i="13"/>
  <c r="H27" i="13"/>
  <c r="I27" i="13"/>
  <c r="J27" i="13"/>
  <c r="H31" i="13"/>
  <c r="I31" i="13"/>
  <c r="J31" i="13"/>
  <c r="H34" i="13"/>
  <c r="I34" i="13"/>
  <c r="J34" i="13"/>
  <c r="H35" i="13" l="1"/>
  <c r="I43" i="13"/>
  <c r="I23" i="13"/>
  <c r="J14" i="13"/>
  <c r="H36" i="13"/>
  <c r="H41" i="13" s="1"/>
  <c r="J23" i="13"/>
  <c r="I14" i="13"/>
  <c r="J35" i="13" l="1"/>
  <c r="J36" i="13" s="1"/>
  <c r="J41" i="13" s="1"/>
  <c r="I35" i="13"/>
  <c r="I36" i="13" s="1"/>
  <c r="I41" i="13" s="1"/>
  <c r="I110" i="49" l="1"/>
  <c r="J110" i="49"/>
  <c r="H110" i="49"/>
  <c r="I117" i="49"/>
  <c r="I137" i="49"/>
  <c r="J137" i="49"/>
  <c r="H137" i="49"/>
  <c r="H131" i="49" l="1"/>
  <c r="I131" i="49"/>
  <c r="J131" i="49"/>
  <c r="I123" i="49" l="1"/>
  <c r="H123" i="49"/>
  <c r="J122" i="49"/>
  <c r="J123" i="49" s="1"/>
  <c r="H92" i="49" l="1"/>
  <c r="I60" i="49" l="1"/>
  <c r="H60" i="49"/>
  <c r="J59" i="49"/>
  <c r="J60" i="49" s="1"/>
  <c r="M56" i="49" l="1"/>
  <c r="N56" i="49"/>
  <c r="L56" i="49"/>
  <c r="H58" i="49"/>
  <c r="I57" i="49"/>
  <c r="I58" i="49" s="1"/>
  <c r="J57" i="49" l="1"/>
  <c r="J58" i="49" s="1"/>
  <c r="J132" i="34" l="1"/>
  <c r="I132" i="34"/>
  <c r="H132" i="34"/>
  <c r="I124" i="34"/>
  <c r="J124" i="34"/>
  <c r="H124" i="34"/>
  <c r="J90" i="34"/>
  <c r="I92" i="34"/>
  <c r="J92" i="34"/>
  <c r="H92" i="34"/>
  <c r="I102" i="34" l="1"/>
  <c r="J102" i="34"/>
  <c r="H102" i="34"/>
  <c r="I100" i="34"/>
  <c r="J100" i="34"/>
  <c r="J103" i="34" l="1"/>
  <c r="I103" i="34"/>
  <c r="J23" i="34"/>
  <c r="I15" i="23" l="1"/>
  <c r="I16" i="23" s="1"/>
  <c r="I38" i="4"/>
  <c r="I122" i="4" l="1"/>
  <c r="J122" i="4"/>
  <c r="H100" i="34"/>
  <c r="H103" i="34" s="1"/>
  <c r="H67" i="34"/>
  <c r="H75" i="34"/>
  <c r="H71" i="34"/>
  <c r="H79" i="34"/>
  <c r="H65" i="34"/>
  <c r="H204" i="4" l="1"/>
  <c r="I204" i="4"/>
  <c r="J204" i="4"/>
  <c r="H150" i="49"/>
  <c r="I150" i="49"/>
  <c r="J150" i="49"/>
  <c r="I46" i="4" l="1"/>
  <c r="J46" i="4" s="1"/>
  <c r="H82" i="4"/>
  <c r="H101" i="4" s="1"/>
  <c r="I191" i="4" l="1"/>
  <c r="I116" i="7"/>
  <c r="H116" i="7"/>
  <c r="I106" i="34"/>
  <c r="I120" i="49" l="1"/>
  <c r="N15" i="7" l="1"/>
  <c r="M15" i="7"/>
  <c r="L15" i="7"/>
  <c r="I36" i="23" l="1"/>
  <c r="J36" i="23"/>
  <c r="H36" i="23"/>
  <c r="J49" i="23" l="1"/>
  <c r="J50" i="23" s="1"/>
  <c r="H49" i="23"/>
  <c r="H50" i="23" s="1"/>
  <c r="I49" i="23"/>
  <c r="I50" i="23" s="1"/>
  <c r="H27" i="23"/>
  <c r="I27" i="23"/>
  <c r="J27" i="23"/>
  <c r="I135" i="34" l="1"/>
  <c r="J135" i="34"/>
  <c r="H280" i="7" l="1"/>
  <c r="H100" i="7"/>
  <c r="I100" i="7"/>
  <c r="J100" i="7"/>
  <c r="J70" i="7" l="1"/>
  <c r="I70" i="7"/>
  <c r="H70" i="7"/>
  <c r="H109" i="7" l="1"/>
  <c r="I109" i="7"/>
  <c r="J109" i="7"/>
  <c r="I23" i="18" l="1"/>
  <c r="J23" i="18"/>
  <c r="H23" i="18"/>
  <c r="I57" i="18" l="1"/>
  <c r="J57" i="18"/>
  <c r="H57" i="18"/>
  <c r="H55" i="18"/>
  <c r="J35" i="34" l="1"/>
  <c r="H115" i="34"/>
  <c r="H111" i="34"/>
  <c r="H80" i="28" l="1"/>
  <c r="I20" i="28"/>
  <c r="J20" i="28"/>
  <c r="H20" i="28"/>
  <c r="H131" i="4" l="1"/>
  <c r="H65" i="4"/>
  <c r="H72" i="4" s="1"/>
  <c r="H27" i="4"/>
  <c r="M82" i="4" l="1"/>
  <c r="N82" i="4"/>
  <c r="L82" i="4"/>
  <c r="L69" i="4"/>
  <c r="M69" i="4"/>
  <c r="N69" i="4"/>
  <c r="M65" i="4"/>
  <c r="N65" i="4"/>
  <c r="L65" i="4"/>
  <c r="M27" i="4"/>
  <c r="N27" i="4"/>
  <c r="L27" i="4"/>
  <c r="M83" i="4" l="1"/>
  <c r="L83" i="4"/>
  <c r="N83" i="4"/>
  <c r="J113" i="34"/>
  <c r="I104" i="34"/>
  <c r="I72" i="49" l="1"/>
  <c r="H122" i="4" l="1"/>
  <c r="I124" i="4"/>
  <c r="I126" i="4" s="1"/>
  <c r="H126" i="4"/>
  <c r="I127" i="4"/>
  <c r="I134" i="4"/>
  <c r="J134" i="4" s="1"/>
  <c r="H139" i="4"/>
  <c r="I139" i="4"/>
  <c r="J139" i="4"/>
  <c r="I141" i="4"/>
  <c r="J141" i="4" s="1"/>
  <c r="I148" i="4"/>
  <c r="J148" i="4" s="1"/>
  <c r="H153" i="4"/>
  <c r="H156" i="4"/>
  <c r="I156" i="4"/>
  <c r="J156" i="4"/>
  <c r="H160" i="4"/>
  <c r="H161" i="4" s="1"/>
  <c r="I158" i="4"/>
  <c r="J158" i="4" s="1"/>
  <c r="I162" i="4"/>
  <c r="J162" i="4" s="1"/>
  <c r="I163" i="4"/>
  <c r="J163" i="4" s="1"/>
  <c r="H165" i="4"/>
  <c r="I164" i="4"/>
  <c r="J164" i="4" s="1"/>
  <c r="H168" i="4"/>
  <c r="I168" i="4"/>
  <c r="J168" i="4"/>
  <c r="I171" i="4"/>
  <c r="J171" i="4" s="1"/>
  <c r="I172" i="4"/>
  <c r="J172" i="4" s="1"/>
  <c r="I173" i="4"/>
  <c r="I178" i="4"/>
  <c r="I181" i="4" s="1"/>
  <c r="H181" i="4"/>
  <c r="H184" i="4"/>
  <c r="I184" i="4"/>
  <c r="J184" i="4"/>
  <c r="H187" i="4"/>
  <c r="I187" i="4"/>
  <c r="J187" i="4"/>
  <c r="I192" i="4"/>
  <c r="H191" i="4"/>
  <c r="H192" i="4" s="1"/>
  <c r="H197" i="4"/>
  <c r="H198" i="4"/>
  <c r="I198" i="4"/>
  <c r="J198" i="4"/>
  <c r="H199" i="4"/>
  <c r="I199" i="4"/>
  <c r="J199" i="4"/>
  <c r="H200" i="4"/>
  <c r="I200" i="4"/>
  <c r="J200" i="4"/>
  <c r="H201" i="4"/>
  <c r="I201" i="4"/>
  <c r="J201" i="4"/>
  <c r="H202" i="4"/>
  <c r="I202" i="4"/>
  <c r="J202" i="4"/>
  <c r="H203" i="4"/>
  <c r="I203" i="4"/>
  <c r="J203" i="4"/>
  <c r="H205" i="4"/>
  <c r="I205" i="4"/>
  <c r="J205" i="4"/>
  <c r="I61" i="4"/>
  <c r="J61" i="4" s="1"/>
  <c r="I53" i="4"/>
  <c r="J53" i="4" s="1"/>
  <c r="I17" i="4"/>
  <c r="J17" i="4" s="1"/>
  <c r="I18" i="4"/>
  <c r="J18" i="4" s="1"/>
  <c r="H169" i="4" l="1"/>
  <c r="J127" i="4"/>
  <c r="J131" i="4" s="1"/>
  <c r="I131" i="4"/>
  <c r="I132" i="4" s="1"/>
  <c r="J153" i="4"/>
  <c r="J157" i="4" s="1"/>
  <c r="H188" i="4"/>
  <c r="J178" i="4"/>
  <c r="J181" i="4" s="1"/>
  <c r="J188" i="4" s="1"/>
  <c r="H157" i="4"/>
  <c r="H132" i="4"/>
  <c r="J189" i="4"/>
  <c r="J191" i="4" s="1"/>
  <c r="J192" i="4" s="1"/>
  <c r="I188" i="4"/>
  <c r="J160" i="4"/>
  <c r="J161" i="4" s="1"/>
  <c r="J165" i="4"/>
  <c r="J169" i="4" s="1"/>
  <c r="J124" i="4"/>
  <c r="J126" i="4" s="1"/>
  <c r="I146" i="4"/>
  <c r="I147" i="4" s="1"/>
  <c r="J143" i="4"/>
  <c r="J146" i="4" s="1"/>
  <c r="J147" i="4" s="1"/>
  <c r="I176" i="4"/>
  <c r="I177" i="4" s="1"/>
  <c r="J173" i="4"/>
  <c r="J176" i="4" s="1"/>
  <c r="J177" i="4" s="1"/>
  <c r="H176" i="4"/>
  <c r="H177" i="4" s="1"/>
  <c r="I165" i="4"/>
  <c r="I169" i="4" s="1"/>
  <c r="I153" i="4"/>
  <c r="I157" i="4" s="1"/>
  <c r="H146" i="4"/>
  <c r="H147" i="4" s="1"/>
  <c r="I160" i="4"/>
  <c r="I161" i="4" s="1"/>
  <c r="H196" i="4"/>
  <c r="C4" i="11" s="1"/>
  <c r="J132" i="4" l="1"/>
  <c r="H193" i="4"/>
  <c r="J193" i="4"/>
  <c r="I193" i="4"/>
  <c r="I9" i="34"/>
  <c r="J9" i="34" s="1"/>
  <c r="J11" i="34" s="1"/>
  <c r="H11" i="34"/>
  <c r="I15" i="34"/>
  <c r="H15" i="34"/>
  <c r="H150" i="34"/>
  <c r="I21" i="34"/>
  <c r="J21" i="34" s="1"/>
  <c r="H22" i="34"/>
  <c r="I31" i="34"/>
  <c r="H31" i="34"/>
  <c r="H35" i="34"/>
  <c r="I35" i="34"/>
  <c r="I38" i="34"/>
  <c r="I43" i="34" s="1"/>
  <c r="H43" i="34"/>
  <c r="I44" i="34"/>
  <c r="I46" i="34" s="1"/>
  <c r="H46" i="34"/>
  <c r="I47" i="34"/>
  <c r="J47" i="34" s="1"/>
  <c r="J48" i="34" s="1"/>
  <c r="H48" i="34"/>
  <c r="I49" i="34"/>
  <c r="I50" i="34" s="1"/>
  <c r="H50" i="34"/>
  <c r="I51" i="34"/>
  <c r="J51" i="34" s="1"/>
  <c r="J54" i="34" s="1"/>
  <c r="H54" i="34"/>
  <c r="I55" i="34"/>
  <c r="J55" i="34" s="1"/>
  <c r="J58" i="34" s="1"/>
  <c r="H58" i="34"/>
  <c r="I59" i="34"/>
  <c r="J59" i="34" s="1"/>
  <c r="J60" i="34" s="1"/>
  <c r="H60" i="34"/>
  <c r="I61" i="34"/>
  <c r="I62" i="34" s="1"/>
  <c r="H62" i="34"/>
  <c r="I63" i="34"/>
  <c r="J63" i="34" s="1"/>
  <c r="J65" i="34" s="1"/>
  <c r="I66" i="34"/>
  <c r="J66" i="34" s="1"/>
  <c r="J67" i="34" s="1"/>
  <c r="I68" i="34"/>
  <c r="I73" i="34"/>
  <c r="H73" i="34"/>
  <c r="I74" i="34"/>
  <c r="J74" i="34" s="1"/>
  <c r="J75" i="34" s="1"/>
  <c r="I76" i="34"/>
  <c r="J76" i="34" s="1"/>
  <c r="J77" i="34" s="1"/>
  <c r="H77" i="34"/>
  <c r="I78" i="34"/>
  <c r="I79" i="34" s="1"/>
  <c r="I80" i="34"/>
  <c r="I81" i="34" s="1"/>
  <c r="H81" i="34"/>
  <c r="I82" i="34"/>
  <c r="I83" i="34" s="1"/>
  <c r="H83" i="34"/>
  <c r="H90" i="34"/>
  <c r="I90" i="34"/>
  <c r="I93" i="34"/>
  <c r="I97" i="34" s="1"/>
  <c r="H97" i="34"/>
  <c r="J104" i="34"/>
  <c r="J105" i="34" s="1"/>
  <c r="H105" i="34"/>
  <c r="J106" i="34"/>
  <c r="J107" i="34" s="1"/>
  <c r="H107" i="34"/>
  <c r="I111" i="34"/>
  <c r="J111" i="34"/>
  <c r="H113" i="34"/>
  <c r="H116" i="34" s="1"/>
  <c r="I113" i="34"/>
  <c r="I115" i="34"/>
  <c r="J115" i="34"/>
  <c r="J116" i="34" s="1"/>
  <c r="H119" i="34"/>
  <c r="H120" i="34" s="1"/>
  <c r="I119" i="34"/>
  <c r="I120" i="34" s="1"/>
  <c r="J119" i="34"/>
  <c r="J120" i="34" s="1"/>
  <c r="H127" i="34"/>
  <c r="H128" i="34" s="1"/>
  <c r="I127" i="34"/>
  <c r="I128" i="34" s="1"/>
  <c r="J127" i="34"/>
  <c r="J128" i="34" s="1"/>
  <c r="H130" i="34"/>
  <c r="H136" i="34" s="1"/>
  <c r="I130" i="34"/>
  <c r="I136" i="34" s="1"/>
  <c r="J130" i="34"/>
  <c r="J136" i="34" s="1"/>
  <c r="H142" i="34"/>
  <c r="I142" i="34"/>
  <c r="J142" i="34"/>
  <c r="E6" i="35" s="1"/>
  <c r="H143" i="34"/>
  <c r="C7" i="35" s="1"/>
  <c r="I143" i="34"/>
  <c r="J143" i="34"/>
  <c r="E7" i="35" s="1"/>
  <c r="H144" i="34"/>
  <c r="I144" i="34"/>
  <c r="J144" i="34"/>
  <c r="E8" i="35" s="1"/>
  <c r="H145" i="34"/>
  <c r="I145" i="34"/>
  <c r="J145" i="34"/>
  <c r="E9" i="35" s="1"/>
  <c r="H146" i="34"/>
  <c r="C10" i="35" s="1"/>
  <c r="H147" i="34"/>
  <c r="I147" i="34"/>
  <c r="J147" i="34"/>
  <c r="H148" i="34"/>
  <c r="I148" i="34"/>
  <c r="J148" i="34"/>
  <c r="H149" i="34"/>
  <c r="I149" i="34"/>
  <c r="D13" i="35" s="1"/>
  <c r="J149" i="34"/>
  <c r="E13" i="35" s="1"/>
  <c r="H19" i="7"/>
  <c r="I64" i="7"/>
  <c r="H64" i="7"/>
  <c r="J64" i="7"/>
  <c r="I282" i="7"/>
  <c r="J282" i="7"/>
  <c r="H67" i="7"/>
  <c r="H74" i="7"/>
  <c r="I74" i="7"/>
  <c r="J74" i="7"/>
  <c r="H77" i="7"/>
  <c r="J77" i="7"/>
  <c r="I80" i="7"/>
  <c r="J80" i="7"/>
  <c r="H80" i="7"/>
  <c r="H83" i="7"/>
  <c r="I83" i="7"/>
  <c r="J83" i="7"/>
  <c r="H86" i="7"/>
  <c r="I86" i="7"/>
  <c r="J86" i="7"/>
  <c r="H89" i="7"/>
  <c r="I89" i="7"/>
  <c r="J89" i="7"/>
  <c r="H92" i="7"/>
  <c r="I92" i="7"/>
  <c r="J92" i="7"/>
  <c r="H95" i="7"/>
  <c r="I95" i="7"/>
  <c r="J95" i="7"/>
  <c r="J98" i="7"/>
  <c r="H98" i="7"/>
  <c r="I98" i="7"/>
  <c r="H102" i="7"/>
  <c r="I102" i="7"/>
  <c r="J102" i="7"/>
  <c r="I105" i="7"/>
  <c r="J105" i="7"/>
  <c r="H105" i="7"/>
  <c r="H114" i="7"/>
  <c r="I114" i="7"/>
  <c r="J114" i="7"/>
  <c r="H233" i="7"/>
  <c r="H238" i="7" s="1"/>
  <c r="I233" i="7"/>
  <c r="I238" i="7" s="1"/>
  <c r="J233" i="7"/>
  <c r="J238" i="7" s="1"/>
  <c r="H242" i="7"/>
  <c r="H243" i="7" s="1"/>
  <c r="I243" i="7"/>
  <c r="J243" i="7"/>
  <c r="I247" i="7"/>
  <c r="I248" i="7" s="1"/>
  <c r="H247" i="7"/>
  <c r="H248" i="7" s="1"/>
  <c r="J247" i="7"/>
  <c r="J248" i="7" s="1"/>
  <c r="H251" i="7"/>
  <c r="I251" i="7"/>
  <c r="J251" i="7"/>
  <c r="H253" i="7"/>
  <c r="I253" i="7"/>
  <c r="J253" i="7"/>
  <c r="H255" i="7"/>
  <c r="I255" i="7"/>
  <c r="J255" i="7"/>
  <c r="H262" i="7"/>
  <c r="H263" i="7" s="1"/>
  <c r="I262" i="7"/>
  <c r="I263" i="7" s="1"/>
  <c r="J262" i="7"/>
  <c r="J263" i="7" s="1"/>
  <c r="H267" i="7"/>
  <c r="I267" i="7"/>
  <c r="J267" i="7"/>
  <c r="H269" i="7"/>
  <c r="I269" i="7"/>
  <c r="J269" i="7"/>
  <c r="H271" i="7"/>
  <c r="I271" i="7"/>
  <c r="J271" i="7"/>
  <c r="H277" i="7"/>
  <c r="I277" i="7"/>
  <c r="D5" i="10" s="1"/>
  <c r="J277" i="7"/>
  <c r="E5" i="10" s="1"/>
  <c r="H278" i="7"/>
  <c r="I278" i="7"/>
  <c r="J278" i="7"/>
  <c r="E6" i="10" s="1"/>
  <c r="H279" i="7"/>
  <c r="I279" i="7"/>
  <c r="J279" i="7"/>
  <c r="J280" i="7"/>
  <c r="H281" i="7"/>
  <c r="I281" i="7"/>
  <c r="D9" i="10" s="1"/>
  <c r="J281" i="7"/>
  <c r="E9" i="10" s="1"/>
  <c r="H282" i="7"/>
  <c r="H283" i="7"/>
  <c r="I283" i="7"/>
  <c r="D11" i="10" s="1"/>
  <c r="J283" i="7"/>
  <c r="H284" i="7"/>
  <c r="I284" i="7"/>
  <c r="D12" i="10" s="1"/>
  <c r="J284" i="7"/>
  <c r="H285" i="7"/>
  <c r="I285" i="7"/>
  <c r="D13" i="10" s="1"/>
  <c r="J285" i="7"/>
  <c r="E13" i="10" s="1"/>
  <c r="H286" i="7"/>
  <c r="I286" i="7"/>
  <c r="J286" i="7"/>
  <c r="E14" i="10" s="1"/>
  <c r="H12" i="28"/>
  <c r="I12" i="28"/>
  <c r="J12" i="28"/>
  <c r="H26" i="28"/>
  <c r="I26" i="28"/>
  <c r="J26" i="28"/>
  <c r="H29" i="28"/>
  <c r="I29" i="28"/>
  <c r="J29" i="28"/>
  <c r="H31" i="28"/>
  <c r="I31" i="28"/>
  <c r="J31" i="28"/>
  <c r="H45" i="28"/>
  <c r="H46" i="28" s="1"/>
  <c r="I45" i="28"/>
  <c r="I46" i="28" s="1"/>
  <c r="J45" i="28"/>
  <c r="J46" i="28" s="1"/>
  <c r="H49" i="28"/>
  <c r="I49" i="28"/>
  <c r="J49" i="28"/>
  <c r="H52" i="28"/>
  <c r="H53" i="28" s="1"/>
  <c r="I52" i="28"/>
  <c r="I53" i="28" s="1"/>
  <c r="J52" i="28"/>
  <c r="J53" i="28" s="1"/>
  <c r="H56" i="28"/>
  <c r="I56" i="28"/>
  <c r="J56" i="28"/>
  <c r="H58" i="28"/>
  <c r="I58" i="28"/>
  <c r="J58" i="28"/>
  <c r="I62" i="28"/>
  <c r="J62" i="28"/>
  <c r="I65" i="28"/>
  <c r="J65" i="28"/>
  <c r="I72" i="28"/>
  <c r="J72" i="28"/>
  <c r="I74" i="28"/>
  <c r="J74" i="28"/>
  <c r="H79" i="28"/>
  <c r="C4" i="31" s="1"/>
  <c r="I79" i="28"/>
  <c r="D4" i="31" s="1"/>
  <c r="J79" i="28"/>
  <c r="E4" i="31" s="1"/>
  <c r="H81" i="28"/>
  <c r="C6" i="31" s="1"/>
  <c r="I81" i="28"/>
  <c r="J81" i="28"/>
  <c r="E6" i="31" s="1"/>
  <c r="H82" i="28"/>
  <c r="I82" i="28"/>
  <c r="D7" i="31" s="1"/>
  <c r="J82" i="28"/>
  <c r="E7" i="31" s="1"/>
  <c r="H83" i="28"/>
  <c r="I83" i="28"/>
  <c r="J83" i="28"/>
  <c r="E8" i="31" s="1"/>
  <c r="H84" i="28"/>
  <c r="C9" i="31" s="1"/>
  <c r="I84" i="28"/>
  <c r="J84" i="28"/>
  <c r="E9" i="31" s="1"/>
  <c r="H85" i="28"/>
  <c r="I85" i="28"/>
  <c r="D10" i="31" s="1"/>
  <c r="J85" i="28"/>
  <c r="E10" i="31" s="1"/>
  <c r="H86" i="28"/>
  <c r="I86" i="28"/>
  <c r="D11" i="31" s="1"/>
  <c r="J86" i="28"/>
  <c r="E11" i="31" s="1"/>
  <c r="H87" i="28"/>
  <c r="I87" i="28"/>
  <c r="J87" i="28"/>
  <c r="H88" i="28"/>
  <c r="C13" i="31" s="1"/>
  <c r="I88" i="28"/>
  <c r="D13" i="31" s="1"/>
  <c r="J88" i="28"/>
  <c r="H89" i="28"/>
  <c r="I89" i="28"/>
  <c r="D14" i="31" s="1"/>
  <c r="J89" i="28"/>
  <c r="H10" i="23"/>
  <c r="H11" i="23" s="1"/>
  <c r="I10" i="23"/>
  <c r="I11" i="23" s="1"/>
  <c r="I17" i="23" s="1"/>
  <c r="J10" i="23"/>
  <c r="J11" i="23" s="1"/>
  <c r="H15" i="23"/>
  <c r="H16" i="23" s="1"/>
  <c r="J15" i="23"/>
  <c r="J16" i="23" s="1"/>
  <c r="H20" i="23"/>
  <c r="I20" i="23"/>
  <c r="J20" i="23"/>
  <c r="I23" i="23"/>
  <c r="J23" i="23"/>
  <c r="H23" i="23"/>
  <c r="H29" i="23"/>
  <c r="I29" i="23"/>
  <c r="J29" i="23"/>
  <c r="I55" i="23"/>
  <c r="H31" i="23"/>
  <c r="H53" i="23"/>
  <c r="J53" i="23"/>
  <c r="H54" i="23"/>
  <c r="I54" i="23"/>
  <c r="H55" i="23"/>
  <c r="H56" i="23"/>
  <c r="C7" i="26" s="1"/>
  <c r="I56" i="23"/>
  <c r="D7" i="26" s="1"/>
  <c r="J56" i="23"/>
  <c r="E7" i="26" s="1"/>
  <c r="H57" i="23"/>
  <c r="I57" i="23"/>
  <c r="D8" i="26" s="1"/>
  <c r="J57" i="23"/>
  <c r="H58" i="23"/>
  <c r="C9" i="26" s="1"/>
  <c r="I58" i="23"/>
  <c r="J58" i="23"/>
  <c r="H59" i="23"/>
  <c r="C10" i="26" s="1"/>
  <c r="I59" i="23"/>
  <c r="D10" i="26" s="1"/>
  <c r="J59" i="23"/>
  <c r="H60" i="23"/>
  <c r="C11" i="26" s="1"/>
  <c r="I60" i="23"/>
  <c r="D11" i="26" s="1"/>
  <c r="J60" i="23"/>
  <c r="E11" i="26" s="1"/>
  <c r="H61" i="23"/>
  <c r="I61" i="23"/>
  <c r="D12" i="26" s="1"/>
  <c r="J61" i="23"/>
  <c r="E12" i="26" s="1"/>
  <c r="H62" i="23"/>
  <c r="I62" i="23"/>
  <c r="D13" i="26" s="1"/>
  <c r="J62" i="23"/>
  <c r="H63" i="23"/>
  <c r="I63" i="23"/>
  <c r="D14" i="26" s="1"/>
  <c r="J63" i="23"/>
  <c r="E14" i="26" s="1"/>
  <c r="H12" i="18"/>
  <c r="I12" i="18"/>
  <c r="J12" i="18"/>
  <c r="I15" i="18"/>
  <c r="J15" i="18"/>
  <c r="H25" i="18"/>
  <c r="H29" i="18" s="1"/>
  <c r="I25" i="18"/>
  <c r="J25" i="18"/>
  <c r="H28" i="18"/>
  <c r="I28" i="18"/>
  <c r="J28" i="18"/>
  <c r="I55" i="18"/>
  <c r="D4" i="21" s="1"/>
  <c r="J60" i="18"/>
  <c r="E9" i="21" s="1"/>
  <c r="H33" i="18"/>
  <c r="H34" i="18" s="1"/>
  <c r="H36" i="18"/>
  <c r="H41" i="18" s="1"/>
  <c r="I36" i="18"/>
  <c r="I41" i="18" s="1"/>
  <c r="J36" i="18"/>
  <c r="J41" i="18" s="1"/>
  <c r="H56" i="18"/>
  <c r="C5" i="21" s="1"/>
  <c r="C6" i="21"/>
  <c r="E6" i="21"/>
  <c r="H58" i="18"/>
  <c r="I58" i="18"/>
  <c r="J58" i="18"/>
  <c r="H59" i="18"/>
  <c r="I59" i="18"/>
  <c r="D8" i="21" s="1"/>
  <c r="J59" i="18"/>
  <c r="E8" i="21" s="1"/>
  <c r="H60" i="18"/>
  <c r="H61" i="18"/>
  <c r="I61" i="18"/>
  <c r="D10" i="21" s="1"/>
  <c r="J61" i="18"/>
  <c r="E10" i="21" s="1"/>
  <c r="H62" i="18"/>
  <c r="C11" i="21" s="1"/>
  <c r="I62" i="18"/>
  <c r="J62" i="18"/>
  <c r="H63" i="18"/>
  <c r="I63" i="18"/>
  <c r="J63" i="18"/>
  <c r="E12" i="21" s="1"/>
  <c r="H64" i="18"/>
  <c r="C13" i="21" s="1"/>
  <c r="I64" i="18"/>
  <c r="D13" i="21" s="1"/>
  <c r="J64" i="18"/>
  <c r="E13" i="21" s="1"/>
  <c r="H65" i="18"/>
  <c r="I65" i="18"/>
  <c r="J65" i="18"/>
  <c r="E14" i="21" s="1"/>
  <c r="E4" i="16"/>
  <c r="H44" i="13"/>
  <c r="C5" i="16" s="1"/>
  <c r="H45" i="13"/>
  <c r="I45" i="13"/>
  <c r="D6" i="16" s="1"/>
  <c r="J45" i="13"/>
  <c r="H46" i="13"/>
  <c r="I46" i="13"/>
  <c r="J46" i="13"/>
  <c r="H47" i="13"/>
  <c r="C8" i="16" s="1"/>
  <c r="I47" i="13"/>
  <c r="J47" i="13"/>
  <c r="H48" i="13"/>
  <c r="I48" i="13"/>
  <c r="J48" i="13"/>
  <c r="E9" i="16" s="1"/>
  <c r="H49" i="13"/>
  <c r="I49" i="13"/>
  <c r="J49" i="13"/>
  <c r="H50" i="13"/>
  <c r="I50" i="13"/>
  <c r="D11" i="16" s="1"/>
  <c r="J50" i="13"/>
  <c r="H51" i="13"/>
  <c r="I51" i="13"/>
  <c r="D12" i="16" s="1"/>
  <c r="J51" i="13"/>
  <c r="E12" i="16" s="1"/>
  <c r="H52" i="13"/>
  <c r="I52" i="13"/>
  <c r="D13" i="16" s="1"/>
  <c r="J52" i="13"/>
  <c r="H53" i="13"/>
  <c r="I8" i="49"/>
  <c r="I11" i="49"/>
  <c r="J11" i="49" s="1"/>
  <c r="J12" i="49" s="1"/>
  <c r="H12" i="49"/>
  <c r="H14" i="49"/>
  <c r="I14" i="49"/>
  <c r="J14" i="49"/>
  <c r="I17" i="49"/>
  <c r="H18" i="49"/>
  <c r="I19" i="49"/>
  <c r="I20" i="49" s="1"/>
  <c r="H20" i="49"/>
  <c r="I21" i="49"/>
  <c r="I22" i="49" s="1"/>
  <c r="H22" i="49"/>
  <c r="I23" i="49"/>
  <c r="J23" i="49" s="1"/>
  <c r="J24" i="49" s="1"/>
  <c r="H24" i="49"/>
  <c r="I26" i="49"/>
  <c r="I27" i="49" s="1"/>
  <c r="H27" i="49"/>
  <c r="H29" i="49"/>
  <c r="I29" i="49"/>
  <c r="J29" i="49"/>
  <c r="I30" i="49"/>
  <c r="J30" i="49" s="1"/>
  <c r="J31" i="49" s="1"/>
  <c r="H31" i="49"/>
  <c r="I32" i="49"/>
  <c r="J32" i="49" s="1"/>
  <c r="I33" i="49"/>
  <c r="J33" i="49" s="1"/>
  <c r="I34" i="49"/>
  <c r="J34" i="49" s="1"/>
  <c r="I35" i="49"/>
  <c r="J35" i="49" s="1"/>
  <c r="I36" i="49"/>
  <c r="J36" i="49" s="1"/>
  <c r="I37" i="49"/>
  <c r="J37" i="49" s="1"/>
  <c r="I38" i="49"/>
  <c r="J38" i="49" s="1"/>
  <c r="I39" i="49"/>
  <c r="J39" i="49" s="1"/>
  <c r="I40" i="49"/>
  <c r="J40" i="49" s="1"/>
  <c r="I41" i="49"/>
  <c r="J41" i="49" s="1"/>
  <c r="I42" i="49"/>
  <c r="J42" i="49" s="1"/>
  <c r="I43" i="49"/>
  <c r="J43" i="49" s="1"/>
  <c r="I44" i="49"/>
  <c r="J44" i="49" s="1"/>
  <c r="I45" i="49"/>
  <c r="J45" i="49" s="1"/>
  <c r="I46" i="49"/>
  <c r="J46" i="49" s="1"/>
  <c r="I47" i="49"/>
  <c r="J47" i="49" s="1"/>
  <c r="I48" i="49"/>
  <c r="J48" i="49" s="1"/>
  <c r="J49" i="49"/>
  <c r="I50" i="49"/>
  <c r="J50" i="49" s="1"/>
  <c r="I51" i="49"/>
  <c r="J51" i="49" s="1"/>
  <c r="I52" i="49"/>
  <c r="J52" i="49" s="1"/>
  <c r="I53" i="49"/>
  <c r="J53" i="49" s="1"/>
  <c r="I54" i="49"/>
  <c r="J54" i="49" s="1"/>
  <c r="I55" i="49"/>
  <c r="J55" i="49" s="1"/>
  <c r="H56" i="49"/>
  <c r="I63" i="49"/>
  <c r="I64" i="49" s="1"/>
  <c r="H63" i="49"/>
  <c r="H64" i="49" s="1"/>
  <c r="I66" i="49"/>
  <c r="J66" i="49" s="1"/>
  <c r="I68" i="49"/>
  <c r="J68" i="49" s="1"/>
  <c r="I69" i="49"/>
  <c r="I73" i="49"/>
  <c r="J73" i="49" s="1"/>
  <c r="H76" i="49"/>
  <c r="I76" i="49"/>
  <c r="J76" i="49"/>
  <c r="I78" i="49"/>
  <c r="H80" i="49"/>
  <c r="I81" i="49"/>
  <c r="I82" i="49" s="1"/>
  <c r="H82" i="49"/>
  <c r="H88" i="49"/>
  <c r="I83" i="49"/>
  <c r="J83" i="49" s="1"/>
  <c r="I89" i="49"/>
  <c r="I90" i="49" s="1"/>
  <c r="H90" i="49"/>
  <c r="I91" i="49"/>
  <c r="I94" i="49"/>
  <c r="J94" i="49" s="1"/>
  <c r="I95" i="49"/>
  <c r="H96" i="49"/>
  <c r="I98" i="49"/>
  <c r="J98" i="49" s="1"/>
  <c r="I99" i="49"/>
  <c r="H100" i="49"/>
  <c r="H101" i="49" s="1"/>
  <c r="H103" i="49"/>
  <c r="H104" i="49" s="1"/>
  <c r="I103" i="49"/>
  <c r="I104" i="49" s="1"/>
  <c r="J103" i="49"/>
  <c r="J104" i="49" s="1"/>
  <c r="H107" i="49"/>
  <c r="I107" i="49"/>
  <c r="J107" i="49"/>
  <c r="I112" i="49"/>
  <c r="H112" i="49"/>
  <c r="J113" i="49"/>
  <c r="J115" i="49" s="1"/>
  <c r="H115" i="49"/>
  <c r="H117" i="49"/>
  <c r="J120" i="49"/>
  <c r="J121" i="49" s="1"/>
  <c r="J124" i="49" s="1"/>
  <c r="H121" i="49"/>
  <c r="H124" i="49" s="1"/>
  <c r="I125" i="49"/>
  <c r="J125" i="49" s="1"/>
  <c r="I126" i="49"/>
  <c r="J126" i="49" s="1"/>
  <c r="H127" i="49"/>
  <c r="H128" i="49" s="1"/>
  <c r="H134" i="49"/>
  <c r="I134" i="49"/>
  <c r="J134" i="49"/>
  <c r="H143" i="49"/>
  <c r="H144" i="49"/>
  <c r="I144" i="49"/>
  <c r="J144" i="49"/>
  <c r="H145" i="49"/>
  <c r="I145" i="49"/>
  <c r="J145" i="49"/>
  <c r="H146" i="49"/>
  <c r="I146" i="49"/>
  <c r="J146" i="49"/>
  <c r="H147" i="49"/>
  <c r="I147" i="49"/>
  <c r="J147" i="49"/>
  <c r="H148" i="49"/>
  <c r="H149" i="49"/>
  <c r="I149" i="49"/>
  <c r="J149" i="49"/>
  <c r="C12" i="45"/>
  <c r="D12" i="45"/>
  <c r="E12" i="45"/>
  <c r="H151" i="49"/>
  <c r="I151" i="49"/>
  <c r="J151" i="49"/>
  <c r="I8" i="4"/>
  <c r="I9" i="4"/>
  <c r="I10" i="4"/>
  <c r="J10" i="4" s="1"/>
  <c r="I11" i="4"/>
  <c r="J11" i="4" s="1"/>
  <c r="I12" i="4"/>
  <c r="J12" i="4" s="1"/>
  <c r="I13" i="4"/>
  <c r="J13" i="4" s="1"/>
  <c r="I14" i="4"/>
  <c r="J14" i="4" s="1"/>
  <c r="I15" i="4"/>
  <c r="J15" i="4" s="1"/>
  <c r="I16" i="4"/>
  <c r="J16" i="4" s="1"/>
  <c r="I19" i="4"/>
  <c r="J19" i="4" s="1"/>
  <c r="I20" i="4"/>
  <c r="J20" i="4" s="1"/>
  <c r="I21" i="4"/>
  <c r="J21" i="4" s="1"/>
  <c r="I22" i="4"/>
  <c r="J22" i="4" s="1"/>
  <c r="I23" i="4"/>
  <c r="J23" i="4" s="1"/>
  <c r="I24" i="4"/>
  <c r="J24" i="4" s="1"/>
  <c r="I25" i="4"/>
  <c r="J25" i="4" s="1"/>
  <c r="I28" i="4"/>
  <c r="I29" i="4"/>
  <c r="I30" i="4"/>
  <c r="J30" i="4" s="1"/>
  <c r="I31" i="4"/>
  <c r="J31" i="4" s="1"/>
  <c r="I32" i="4"/>
  <c r="J32" i="4" s="1"/>
  <c r="I33" i="4"/>
  <c r="J33" i="4" s="1"/>
  <c r="I34" i="4"/>
  <c r="J34" i="4" s="1"/>
  <c r="I35" i="4"/>
  <c r="J35" i="4" s="1"/>
  <c r="I36" i="4"/>
  <c r="J36" i="4" s="1"/>
  <c r="I37" i="4"/>
  <c r="J37" i="4" s="1"/>
  <c r="J38" i="4"/>
  <c r="I39" i="4"/>
  <c r="J39" i="4" s="1"/>
  <c r="I40" i="4"/>
  <c r="J40" i="4" s="1"/>
  <c r="I41" i="4"/>
  <c r="J41" i="4" s="1"/>
  <c r="I42" i="4"/>
  <c r="J42" i="4" s="1"/>
  <c r="I43" i="4"/>
  <c r="J43" i="4" s="1"/>
  <c r="I44" i="4"/>
  <c r="J44" i="4" s="1"/>
  <c r="I45" i="4"/>
  <c r="J45" i="4" s="1"/>
  <c r="I47" i="4"/>
  <c r="J47" i="4" s="1"/>
  <c r="I48" i="4"/>
  <c r="J48" i="4" s="1"/>
  <c r="I49" i="4"/>
  <c r="J49" i="4" s="1"/>
  <c r="I50" i="4"/>
  <c r="J50" i="4" s="1"/>
  <c r="I51" i="4"/>
  <c r="J51" i="4" s="1"/>
  <c r="I52" i="4"/>
  <c r="J52" i="4" s="1"/>
  <c r="I54" i="4"/>
  <c r="J54" i="4" s="1"/>
  <c r="I55" i="4"/>
  <c r="J55" i="4" s="1"/>
  <c r="I56" i="4"/>
  <c r="J56" i="4" s="1"/>
  <c r="I57" i="4"/>
  <c r="J57" i="4" s="1"/>
  <c r="I58" i="4"/>
  <c r="J58" i="4" s="1"/>
  <c r="I59" i="4"/>
  <c r="J59" i="4" s="1"/>
  <c r="I60" i="4"/>
  <c r="J60" i="4" s="1"/>
  <c r="I62" i="4"/>
  <c r="J62" i="4" s="1"/>
  <c r="I66" i="4"/>
  <c r="I74" i="4"/>
  <c r="I75" i="4"/>
  <c r="J75" i="4" s="1"/>
  <c r="I76" i="4"/>
  <c r="J76" i="4" s="1"/>
  <c r="I77" i="4"/>
  <c r="J77" i="4" s="1"/>
  <c r="I78" i="4"/>
  <c r="J78" i="4" s="1"/>
  <c r="I79" i="4"/>
  <c r="J79" i="4" s="1"/>
  <c r="I84" i="4"/>
  <c r="I85" i="4"/>
  <c r="I86" i="4"/>
  <c r="J86" i="4" s="1"/>
  <c r="I87" i="4"/>
  <c r="I88" i="4"/>
  <c r="J88" i="4" s="1"/>
  <c r="I89" i="4"/>
  <c r="J89" i="4" s="1"/>
  <c r="I90" i="4"/>
  <c r="J90" i="4" s="1"/>
  <c r="I91" i="4"/>
  <c r="J91" i="4" s="1"/>
  <c r="I92" i="4"/>
  <c r="J92" i="4" s="1"/>
  <c r="I93" i="4"/>
  <c r="J93" i="4" s="1"/>
  <c r="I94" i="4"/>
  <c r="J94" i="4" s="1"/>
  <c r="I95" i="4"/>
  <c r="J95" i="4" s="1"/>
  <c r="I96" i="4"/>
  <c r="J96" i="4" s="1"/>
  <c r="I97" i="4"/>
  <c r="J97" i="4" s="1"/>
  <c r="I103" i="4"/>
  <c r="I105" i="4" s="1"/>
  <c r="H105" i="4"/>
  <c r="I106" i="4"/>
  <c r="I108" i="4" s="1"/>
  <c r="H108" i="4"/>
  <c r="H110" i="4"/>
  <c r="I110" i="4"/>
  <c r="J110" i="4"/>
  <c r="H112" i="4"/>
  <c r="I112" i="4"/>
  <c r="J112" i="4"/>
  <c r="H114" i="4"/>
  <c r="I114" i="4"/>
  <c r="J114" i="4"/>
  <c r="H116" i="4"/>
  <c r="I116" i="4"/>
  <c r="J116" i="4"/>
  <c r="I117" i="4"/>
  <c r="I118" i="4" s="1"/>
  <c r="H118" i="4"/>
  <c r="J119" i="4"/>
  <c r="J120" i="4" s="1"/>
  <c r="H120" i="4"/>
  <c r="C5" i="11"/>
  <c r="D6" i="11"/>
  <c r="E6" i="11"/>
  <c r="E7" i="11"/>
  <c r="C8" i="11"/>
  <c r="D8" i="11"/>
  <c r="E9" i="11"/>
  <c r="C10" i="11"/>
  <c r="D10" i="11"/>
  <c r="E10" i="11"/>
  <c r="D12" i="11"/>
  <c r="D13" i="11"/>
  <c r="E8" i="11"/>
  <c r="J116" i="49"/>
  <c r="J117" i="49" s="1"/>
  <c r="J53" i="13"/>
  <c r="I77" i="7"/>
  <c r="J72" i="49"/>
  <c r="H98" i="34" l="1"/>
  <c r="H258" i="7"/>
  <c r="I116" i="34"/>
  <c r="I98" i="34"/>
  <c r="H118" i="49"/>
  <c r="J84" i="4"/>
  <c r="I100" i="4"/>
  <c r="H52" i="18"/>
  <c r="J119" i="7"/>
  <c r="I119" i="7"/>
  <c r="H119" i="7"/>
  <c r="I258" i="7"/>
  <c r="I264" i="7" s="1"/>
  <c r="J258" i="7"/>
  <c r="J264" i="7" s="1"/>
  <c r="H71" i="7"/>
  <c r="J66" i="4"/>
  <c r="J69" i="4" s="1"/>
  <c r="I69" i="4"/>
  <c r="H123" i="4"/>
  <c r="H133" i="4" s="1"/>
  <c r="I40" i="28"/>
  <c r="J40" i="28"/>
  <c r="J66" i="28"/>
  <c r="I66" i="28"/>
  <c r="H17" i="23"/>
  <c r="J17" i="23"/>
  <c r="J29" i="18"/>
  <c r="I29" i="18"/>
  <c r="I16" i="18"/>
  <c r="I17" i="18" s="1"/>
  <c r="J16" i="18"/>
  <c r="I138" i="49"/>
  <c r="I139" i="49" s="1"/>
  <c r="H138" i="49"/>
  <c r="H139" i="49" s="1"/>
  <c r="J138" i="49"/>
  <c r="H129" i="49"/>
  <c r="H93" i="49"/>
  <c r="J91" i="49"/>
  <c r="J92" i="49" s="1"/>
  <c r="I92" i="49"/>
  <c r="H84" i="34"/>
  <c r="H85" i="34" s="1"/>
  <c r="I117" i="34"/>
  <c r="H32" i="23"/>
  <c r="H33" i="23" s="1"/>
  <c r="J117" i="34"/>
  <c r="C17" i="43"/>
  <c r="E18" i="43"/>
  <c r="D11" i="43"/>
  <c r="C11" i="43"/>
  <c r="C16" i="43"/>
  <c r="E12" i="43"/>
  <c r="D16" i="43"/>
  <c r="C13" i="43"/>
  <c r="D18" i="43"/>
  <c r="D12" i="43"/>
  <c r="D12" i="21"/>
  <c r="D17" i="43"/>
  <c r="E14" i="43"/>
  <c r="E12" i="10"/>
  <c r="E17" i="43"/>
  <c r="D9" i="45"/>
  <c r="C9" i="45"/>
  <c r="C14" i="43"/>
  <c r="C10" i="45"/>
  <c r="C15" i="43"/>
  <c r="E8" i="45"/>
  <c r="E13" i="43"/>
  <c r="E6" i="45"/>
  <c r="C13" i="45"/>
  <c r="C18" i="43"/>
  <c r="E11" i="45"/>
  <c r="E16" i="43"/>
  <c r="D8" i="45"/>
  <c r="C7" i="45"/>
  <c r="C12" i="43"/>
  <c r="C5" i="45"/>
  <c r="C10" i="43"/>
  <c r="J68" i="34"/>
  <c r="J71" i="34" s="1"/>
  <c r="I71" i="34"/>
  <c r="J74" i="4"/>
  <c r="J82" i="4" s="1"/>
  <c r="I82" i="4"/>
  <c r="J9" i="4"/>
  <c r="I27" i="4"/>
  <c r="C13" i="16"/>
  <c r="I75" i="28"/>
  <c r="I80" i="28"/>
  <c r="D5" i="31" s="1"/>
  <c r="C14" i="16"/>
  <c r="C10" i="16"/>
  <c r="C7" i="16"/>
  <c r="C11" i="16"/>
  <c r="D4" i="16"/>
  <c r="C12" i="16"/>
  <c r="C9" i="16"/>
  <c r="C6" i="16"/>
  <c r="C4" i="16"/>
  <c r="J26" i="49"/>
  <c r="J27" i="49" s="1"/>
  <c r="I74" i="49"/>
  <c r="I77" i="49" s="1"/>
  <c r="J89" i="49"/>
  <c r="J90" i="49" s="1"/>
  <c r="J19" i="49"/>
  <c r="J20" i="49" s="1"/>
  <c r="J31" i="34"/>
  <c r="J272" i="7"/>
  <c r="J273" i="7" s="1"/>
  <c r="I19" i="7"/>
  <c r="H272" i="7"/>
  <c r="H273" i="7" s="1"/>
  <c r="C7" i="31"/>
  <c r="C4" i="26"/>
  <c r="E4" i="26"/>
  <c r="I60" i="18"/>
  <c r="D14" i="43" s="1"/>
  <c r="J55" i="18"/>
  <c r="E4" i="21" s="1"/>
  <c r="D7" i="16"/>
  <c r="E11" i="16"/>
  <c r="E8" i="16"/>
  <c r="D10" i="16"/>
  <c r="J44" i="13"/>
  <c r="J54" i="13" s="1"/>
  <c r="E13" i="16"/>
  <c r="D9" i="16"/>
  <c r="J111" i="49"/>
  <c r="J112" i="49" s="1"/>
  <c r="J8" i="49"/>
  <c r="J127" i="49"/>
  <c r="J128" i="49" s="1"/>
  <c r="J129" i="49" s="1"/>
  <c r="J74" i="49"/>
  <c r="J77" i="49" s="1"/>
  <c r="J21" i="49"/>
  <c r="J22" i="49" s="1"/>
  <c r="I121" i="49"/>
  <c r="I124" i="49" s="1"/>
  <c r="J63" i="49"/>
  <c r="J64" i="49" s="1"/>
  <c r="I70" i="49"/>
  <c r="I71" i="49" s="1"/>
  <c r="I31" i="49"/>
  <c r="I65" i="4"/>
  <c r="J85" i="4"/>
  <c r="D7" i="10"/>
  <c r="E7" i="10"/>
  <c r="E10" i="10"/>
  <c r="J44" i="34"/>
  <c r="J46" i="34" s="1"/>
  <c r="I11" i="34"/>
  <c r="J12" i="34"/>
  <c r="J15" i="34" s="1"/>
  <c r="J61" i="34"/>
  <c r="J62" i="34" s="1"/>
  <c r="H20" i="34"/>
  <c r="H36" i="34" s="1"/>
  <c r="I17" i="34"/>
  <c r="J17" i="34" s="1"/>
  <c r="J150" i="34" s="1"/>
  <c r="H121" i="34"/>
  <c r="J146" i="34"/>
  <c r="E10" i="35" s="1"/>
  <c r="I58" i="34"/>
  <c r="J78" i="34"/>
  <c r="J79" i="34" s="1"/>
  <c r="I146" i="34"/>
  <c r="D10" i="35" s="1"/>
  <c r="I107" i="34"/>
  <c r="J108" i="34"/>
  <c r="C10" i="31"/>
  <c r="D8" i="31"/>
  <c r="C14" i="31"/>
  <c r="E14" i="31"/>
  <c r="I22" i="34"/>
  <c r="H108" i="34"/>
  <c r="J121" i="34"/>
  <c r="J38" i="34"/>
  <c r="J43" i="34" s="1"/>
  <c r="I105" i="34"/>
  <c r="J73" i="34"/>
  <c r="J49" i="34"/>
  <c r="J50" i="34" s="1"/>
  <c r="I67" i="34"/>
  <c r="I48" i="34"/>
  <c r="I140" i="34"/>
  <c r="D4" i="35" s="1"/>
  <c r="J93" i="34"/>
  <c r="J97" i="34" s="1"/>
  <c r="J98" i="34" s="1"/>
  <c r="I75" i="34"/>
  <c r="J82" i="34"/>
  <c r="J83" i="34" s="1"/>
  <c r="C6" i="35"/>
  <c r="D12" i="35"/>
  <c r="C9" i="35"/>
  <c r="D8" i="35"/>
  <c r="E11" i="35"/>
  <c r="I141" i="34"/>
  <c r="I121" i="34"/>
  <c r="H117" i="34"/>
  <c r="J80" i="34"/>
  <c r="J81" i="34" s="1"/>
  <c r="I77" i="34"/>
  <c r="I54" i="34"/>
  <c r="C12" i="35"/>
  <c r="D7" i="35"/>
  <c r="D9" i="35"/>
  <c r="C11" i="35"/>
  <c r="E12" i="35"/>
  <c r="D6" i="35"/>
  <c r="C8" i="35"/>
  <c r="D11" i="35"/>
  <c r="C14" i="35"/>
  <c r="I67" i="7"/>
  <c r="E11" i="10"/>
  <c r="D6" i="10"/>
  <c r="D14" i="10"/>
  <c r="J276" i="7"/>
  <c r="E4" i="10" s="1"/>
  <c r="J19" i="7"/>
  <c r="E8" i="10"/>
  <c r="D10" i="10"/>
  <c r="I276" i="7"/>
  <c r="D4" i="10" s="1"/>
  <c r="D9" i="31"/>
  <c r="C8" i="31"/>
  <c r="C11" i="31"/>
  <c r="E13" i="31"/>
  <c r="D6" i="31"/>
  <c r="C5" i="31"/>
  <c r="E12" i="31"/>
  <c r="D12" i="31"/>
  <c r="C12" i="31"/>
  <c r="D5" i="26"/>
  <c r="E10" i="26"/>
  <c r="C6" i="26"/>
  <c r="E9" i="26"/>
  <c r="C5" i="26"/>
  <c r="C13" i="26"/>
  <c r="E8" i="26"/>
  <c r="E13" i="26"/>
  <c r="D9" i="26"/>
  <c r="D6" i="26"/>
  <c r="C12" i="26"/>
  <c r="C14" i="26"/>
  <c r="H64" i="23"/>
  <c r="C8" i="26"/>
  <c r="E7" i="21"/>
  <c r="E11" i="21"/>
  <c r="D11" i="21"/>
  <c r="D6" i="21"/>
  <c r="C8" i="21"/>
  <c r="I53" i="13"/>
  <c r="E7" i="16"/>
  <c r="E10" i="16"/>
  <c r="E6" i="16"/>
  <c r="D8" i="16"/>
  <c r="H54" i="13"/>
  <c r="H119" i="49"/>
  <c r="J81" i="49"/>
  <c r="J82" i="49" s="1"/>
  <c r="J56" i="49"/>
  <c r="I143" i="49"/>
  <c r="C8" i="45"/>
  <c r="C11" i="45"/>
  <c r="D6" i="45"/>
  <c r="D11" i="45"/>
  <c r="C6" i="45"/>
  <c r="E7" i="45"/>
  <c r="I88" i="49"/>
  <c r="J85" i="49"/>
  <c r="J88" i="49" s="1"/>
  <c r="E9" i="45"/>
  <c r="J69" i="49"/>
  <c r="J70" i="49" s="1"/>
  <c r="J71" i="49" s="1"/>
  <c r="E13" i="45"/>
  <c r="H152" i="49"/>
  <c r="I24" i="49"/>
  <c r="I12" i="49"/>
  <c r="I142" i="49"/>
  <c r="I115" i="49"/>
  <c r="J29" i="4"/>
  <c r="I197" i="4"/>
  <c r="J28" i="4"/>
  <c r="I196" i="4"/>
  <c r="D4" i="11" s="1"/>
  <c r="C13" i="11"/>
  <c r="I120" i="4"/>
  <c r="J106" i="4"/>
  <c r="J108" i="4" s="1"/>
  <c r="J103" i="4"/>
  <c r="J105" i="4" s="1"/>
  <c r="D7" i="11"/>
  <c r="E11" i="11"/>
  <c r="C6" i="11"/>
  <c r="D9" i="11"/>
  <c r="J117" i="4"/>
  <c r="J118" i="4" s="1"/>
  <c r="C12" i="11"/>
  <c r="C11" i="11"/>
  <c r="E13" i="11"/>
  <c r="C7" i="11"/>
  <c r="D11" i="11"/>
  <c r="E12" i="11"/>
  <c r="H90" i="28"/>
  <c r="C10" i="21"/>
  <c r="D7" i="45"/>
  <c r="D13" i="45"/>
  <c r="C5" i="35"/>
  <c r="C13" i="35"/>
  <c r="I100" i="49"/>
  <c r="I101" i="49" s="1"/>
  <c r="J99" i="49"/>
  <c r="J100" i="49" s="1"/>
  <c r="J101" i="49" s="1"/>
  <c r="J95" i="49"/>
  <c r="I96" i="49"/>
  <c r="I152" i="49"/>
  <c r="J87" i="4"/>
  <c r="I15" i="49"/>
  <c r="H16" i="49"/>
  <c r="H25" i="49" s="1"/>
  <c r="I33" i="18"/>
  <c r="I31" i="23"/>
  <c r="C9" i="11"/>
  <c r="L102" i="4"/>
  <c r="J78" i="49"/>
  <c r="J80" i="49" s="1"/>
  <c r="I80" i="49"/>
  <c r="H74" i="49"/>
  <c r="H77" i="49" s="1"/>
  <c r="J17" i="49"/>
  <c r="J18" i="49" s="1"/>
  <c r="I18" i="49"/>
  <c r="I56" i="18"/>
  <c r="H15" i="18"/>
  <c r="H16" i="18" s="1"/>
  <c r="C4" i="21"/>
  <c r="J55" i="23"/>
  <c r="E11" i="43" s="1"/>
  <c r="J31" i="23"/>
  <c r="I272" i="7"/>
  <c r="I273" i="7" s="1"/>
  <c r="H276" i="7"/>
  <c r="J67" i="7"/>
  <c r="H142" i="49"/>
  <c r="J59" i="28"/>
  <c r="J60" i="28" s="1"/>
  <c r="H59" i="28"/>
  <c r="H60" i="28" s="1"/>
  <c r="I59" i="28"/>
  <c r="I60" i="28" s="1"/>
  <c r="H140" i="34"/>
  <c r="C4" i="35" s="1"/>
  <c r="I65" i="34"/>
  <c r="I60" i="34"/>
  <c r="C12" i="21"/>
  <c r="C7" i="21"/>
  <c r="D14" i="21"/>
  <c r="C14" i="21"/>
  <c r="C9" i="21"/>
  <c r="D7" i="21"/>
  <c r="E14" i="16"/>
  <c r="J22" i="34"/>
  <c r="M102" i="4"/>
  <c r="J8" i="4"/>
  <c r="I127" i="49"/>
  <c r="I128" i="49" s="1"/>
  <c r="I129" i="49" s="1"/>
  <c r="H70" i="49"/>
  <c r="H71" i="49" s="1"/>
  <c r="I56" i="49"/>
  <c r="I44" i="13"/>
  <c r="H75" i="28"/>
  <c r="J54" i="23"/>
  <c r="I53" i="23"/>
  <c r="D4" i="26" s="1"/>
  <c r="I280" i="7"/>
  <c r="D13" i="43" s="1"/>
  <c r="I61" i="49" l="1"/>
  <c r="J61" i="49"/>
  <c r="J100" i="4"/>
  <c r="I118" i="49"/>
  <c r="I119" i="49" s="1"/>
  <c r="H51" i="23"/>
  <c r="C2" i="26" s="1"/>
  <c r="J118" i="49"/>
  <c r="J119" i="49" s="1"/>
  <c r="J123" i="4"/>
  <c r="J133" i="4" s="1"/>
  <c r="I72" i="4"/>
  <c r="I73" i="4" s="1"/>
  <c r="I123" i="4"/>
  <c r="I133" i="4" s="1"/>
  <c r="I34" i="18"/>
  <c r="I52" i="18" s="1"/>
  <c r="I53" i="18" s="1"/>
  <c r="H65" i="49"/>
  <c r="I93" i="49"/>
  <c r="J93" i="49"/>
  <c r="I84" i="34"/>
  <c r="I85" i="34" s="1"/>
  <c r="J84" i="34"/>
  <c r="J85" i="34" s="1"/>
  <c r="I101" i="4"/>
  <c r="H17" i="18"/>
  <c r="H53" i="18" s="1"/>
  <c r="J32" i="23"/>
  <c r="J33" i="23" s="1"/>
  <c r="I32" i="23"/>
  <c r="I33" i="23" s="1"/>
  <c r="I51" i="23" s="1"/>
  <c r="D4" i="45"/>
  <c r="D9" i="43"/>
  <c r="D5" i="45"/>
  <c r="D10" i="43"/>
  <c r="C4" i="45"/>
  <c r="C9" i="43"/>
  <c r="J139" i="49"/>
  <c r="I71" i="7"/>
  <c r="I120" i="7" s="1"/>
  <c r="J27" i="4"/>
  <c r="I90" i="28"/>
  <c r="C3" i="16"/>
  <c r="I150" i="34"/>
  <c r="I151" i="34" s="1"/>
  <c r="J142" i="49"/>
  <c r="D9" i="21"/>
  <c r="I66" i="18"/>
  <c r="J71" i="7"/>
  <c r="J120" i="7" s="1"/>
  <c r="C3" i="35"/>
  <c r="G11" i="43"/>
  <c r="E3" i="10"/>
  <c r="I54" i="28"/>
  <c r="I76" i="28"/>
  <c r="C3" i="31"/>
  <c r="D3" i="31"/>
  <c r="D3" i="26"/>
  <c r="C3" i="26"/>
  <c r="C3" i="21"/>
  <c r="E5" i="16"/>
  <c r="E3" i="16" s="1"/>
  <c r="C2" i="16"/>
  <c r="J65" i="4"/>
  <c r="J197" i="4"/>
  <c r="J101" i="4"/>
  <c r="H37" i="34"/>
  <c r="J141" i="34"/>
  <c r="H109" i="34"/>
  <c r="I108" i="34"/>
  <c r="I109" i="34" s="1"/>
  <c r="J137" i="34"/>
  <c r="I137" i="34"/>
  <c r="J20" i="34"/>
  <c r="J36" i="34" s="1"/>
  <c r="J109" i="34"/>
  <c r="E14" i="35"/>
  <c r="I20" i="34"/>
  <c r="J140" i="34"/>
  <c r="D5" i="35"/>
  <c r="H76" i="28"/>
  <c r="H137" i="34"/>
  <c r="H120" i="7"/>
  <c r="G17" i="43"/>
  <c r="J287" i="7"/>
  <c r="J54" i="28"/>
  <c r="G14" i="43"/>
  <c r="D14" i="16"/>
  <c r="G18" i="43"/>
  <c r="C14" i="45"/>
  <c r="J196" i="4"/>
  <c r="G10" i="43"/>
  <c r="N102" i="4"/>
  <c r="G13" i="43"/>
  <c r="G15" i="43"/>
  <c r="J80" i="28"/>
  <c r="J75" i="28"/>
  <c r="J76" i="28" s="1"/>
  <c r="H151" i="34"/>
  <c r="H153" i="49"/>
  <c r="H66" i="18"/>
  <c r="D5" i="21"/>
  <c r="J143" i="49"/>
  <c r="D2" i="16"/>
  <c r="J15" i="49"/>
  <c r="I16" i="49"/>
  <c r="I25" i="49" s="1"/>
  <c r="I148" i="49"/>
  <c r="D15" i="43" s="1"/>
  <c r="J17" i="18"/>
  <c r="H287" i="7"/>
  <c r="E6" i="26"/>
  <c r="J56" i="18"/>
  <c r="J33" i="18"/>
  <c r="D5" i="11"/>
  <c r="D14" i="45"/>
  <c r="J96" i="49"/>
  <c r="J152" i="49"/>
  <c r="I287" i="7"/>
  <c r="D8" i="10"/>
  <c r="D3" i="10" s="1"/>
  <c r="I64" i="23"/>
  <c r="E5" i="26"/>
  <c r="J64" i="23"/>
  <c r="D5" i="16"/>
  <c r="I54" i="13"/>
  <c r="J51" i="23" l="1"/>
  <c r="E2" i="26" s="1"/>
  <c r="J72" i="4"/>
  <c r="J73" i="4" s="1"/>
  <c r="D2" i="21"/>
  <c r="J34" i="18"/>
  <c r="J52" i="18" s="1"/>
  <c r="J53" i="18" s="1"/>
  <c r="E2" i="16"/>
  <c r="I65" i="49"/>
  <c r="D2" i="26"/>
  <c r="J105" i="49"/>
  <c r="I105" i="49"/>
  <c r="C3" i="45"/>
  <c r="C2" i="21"/>
  <c r="J274" i="7"/>
  <c r="E2" i="10" s="1"/>
  <c r="E10" i="43"/>
  <c r="E4" i="45"/>
  <c r="E9" i="43"/>
  <c r="D14" i="35"/>
  <c r="D3" i="35" s="1"/>
  <c r="D3" i="16"/>
  <c r="E4" i="11"/>
  <c r="D3" i="21"/>
  <c r="E5" i="35"/>
  <c r="I77" i="28"/>
  <c r="D2" i="31" s="1"/>
  <c r="I274" i="7"/>
  <c r="D2" i="10" s="1"/>
  <c r="H140" i="49"/>
  <c r="E4" i="35"/>
  <c r="H77" i="28"/>
  <c r="C2" i="31" s="1"/>
  <c r="E3" i="26"/>
  <c r="J37" i="34"/>
  <c r="J138" i="34" s="1"/>
  <c r="E2" i="35" s="1"/>
  <c r="I36" i="34"/>
  <c r="I37" i="34" s="1"/>
  <c r="I138" i="34" s="1"/>
  <c r="D2" i="35" s="1"/>
  <c r="H138" i="34"/>
  <c r="C2" i="35" s="1"/>
  <c r="J151" i="34"/>
  <c r="G12" i="43"/>
  <c r="J77" i="28"/>
  <c r="E2" i="31" s="1"/>
  <c r="E5" i="31"/>
  <c r="E3" i="31" s="1"/>
  <c r="J90" i="28"/>
  <c r="G16" i="43"/>
  <c r="E5" i="21"/>
  <c r="E3" i="21" s="1"/>
  <c r="J66" i="18"/>
  <c r="D10" i="45"/>
  <c r="D3" i="45" s="1"/>
  <c r="I153" i="49"/>
  <c r="J16" i="49"/>
  <c r="J25" i="49" s="1"/>
  <c r="J65" i="49" s="1"/>
  <c r="J148" i="49"/>
  <c r="E15" i="43" s="1"/>
  <c r="E14" i="45"/>
  <c r="E5" i="45"/>
  <c r="E5" i="11"/>
  <c r="E2" i="21" l="1"/>
  <c r="J140" i="49"/>
  <c r="C2" i="45"/>
  <c r="I140" i="49"/>
  <c r="G9" i="43"/>
  <c r="E3" i="35"/>
  <c r="E10" i="45"/>
  <c r="E3" i="45" s="1"/>
  <c r="J153" i="49"/>
  <c r="D2" i="45" l="1"/>
  <c r="E2" i="45"/>
  <c r="H137" i="4"/>
  <c r="I135" i="4"/>
  <c r="J135" i="4" s="1"/>
  <c r="H140" i="4" l="1"/>
  <c r="H170" i="4" s="1"/>
  <c r="C14" i="11"/>
  <c r="C3" i="11" s="1"/>
  <c r="C19" i="43"/>
  <c r="I206" i="4"/>
  <c r="D19" i="43" s="1"/>
  <c r="J137" i="4"/>
  <c r="J206" i="4"/>
  <c r="I137" i="4"/>
  <c r="H207" i="4"/>
  <c r="C8" i="43" s="1"/>
  <c r="I140" i="4" l="1"/>
  <c r="I170" i="4" s="1"/>
  <c r="J140" i="4"/>
  <c r="J170" i="4" s="1"/>
  <c r="J207" i="4"/>
  <c r="E19" i="43"/>
  <c r="I207" i="4"/>
  <c r="D8" i="43" s="1"/>
  <c r="D14" i="11"/>
  <c r="D3" i="11" s="1"/>
  <c r="E14" i="11"/>
  <c r="E3" i="11" s="1"/>
  <c r="I208" i="4" l="1"/>
  <c r="E8" i="43"/>
  <c r="G8" i="43"/>
  <c r="G19" i="43"/>
  <c r="H102" i="4" l="1"/>
  <c r="I102" i="4"/>
  <c r="J102" i="4"/>
  <c r="J194" i="4" l="1"/>
  <c r="I194" i="4"/>
  <c r="D7" i="43" s="1"/>
  <c r="H73" i="4"/>
  <c r="H194" i="4" s="1"/>
  <c r="C2" i="11" l="1"/>
  <c r="D2" i="11"/>
  <c r="E2" i="11"/>
  <c r="E7" i="43"/>
  <c r="H264" i="7"/>
  <c r="H274" i="7" s="1"/>
  <c r="C7" i="43" s="1"/>
  <c r="G7" i="43" s="1"/>
</calcChain>
</file>

<file path=xl/sharedStrings.xml><?xml version="1.0" encoding="utf-8"?>
<sst xmlns="http://schemas.openxmlformats.org/spreadsheetml/2006/main" count="2408" uniqueCount="874">
  <si>
    <t xml:space="preserve"> 01 Siekti subalansuotos ir sveikos aplinkos Jonavos rajono savivaldybės teritorijoje</t>
  </si>
  <si>
    <t xml:space="preserve"> 01 Priemonės, kuriomis kompensuojama aplinkai daroma žala</t>
  </si>
  <si>
    <t xml:space="preserve"> 01 Prevencinės priemonės, kuriomis siekiama išvengti medžiojamųjų gyvūnų daromos žalos miškui</t>
  </si>
  <si>
    <t xml:space="preserve"> 03 Užtikrinti viešąją tvarką ir gyventojų saugumą</t>
  </si>
  <si>
    <t xml:space="preserve"> 01 Įgyvendinti programą "Saugi aplinka-saugi Jonava"</t>
  </si>
  <si>
    <t xml:space="preserve"> 03 Centralizuotas fondas metodinei literatūrai</t>
  </si>
  <si>
    <t xml:space="preserve"> 01 Lietuvos Medžiotojų ir žvejų draugijos Jonavos skyriaus rėmimas tvenkinių įžuvinimui ir plėšrūnų skaičiaus reguliavimui</t>
  </si>
  <si>
    <t xml:space="preserve"> 02 Sudaryti sąlygas Jonavos rajono priešgaisrinės tarnybos misijai atlikti</t>
  </si>
  <si>
    <t xml:space="preserve"> 01 Organizuoti JPGT darbuotojų darbą</t>
  </si>
  <si>
    <t xml:space="preserve"> 01 Remontuoti, prižiūrėti infrastruktūros objektus, teikti paslaugas</t>
  </si>
  <si>
    <t xml:space="preserve"> 01 Rengti planus, programas, organizuoti ir kontroliuoti miesto komunalinių ir energetinių objektų priežiūros darbus</t>
  </si>
  <si>
    <t>Iš jų:</t>
  </si>
  <si>
    <t xml:space="preserve"> 03 Specialiųjų ugdymo poreikių mokiniams  išlaikyti</t>
  </si>
  <si>
    <t xml:space="preserve"> 01 Savivaldybės turto inventorizavimas, turto vertinimas, teisinė registracija, žemės sklypų geodeziniai matavimai, turto draudimas</t>
  </si>
  <si>
    <t>Asignavimų valdytojo kodas</t>
  </si>
  <si>
    <t>Lėšos, reikalingos veiklos planui įgyvendinti, ir finansavimo šaltiniai</t>
  </si>
  <si>
    <t>Iš viso programos tikslui</t>
  </si>
  <si>
    <t>Iš viso programai</t>
  </si>
  <si>
    <t xml:space="preserve"> 02 Priartinti visuomenės sveikatos priežiūrą prie savivaldybės gyventojų</t>
  </si>
  <si>
    <t xml:space="preserve"> 03 Kelių ir gatvių priežiūra Jonavos miesto seniūnijoje</t>
  </si>
  <si>
    <t xml:space="preserve"> 04 Kelių ir gatvių priežiūra Kulvos seniūnijoje</t>
  </si>
  <si>
    <t xml:space="preserve"> 05 Kelių ir gatvių priežiūra Ruklos seniūnijoje</t>
  </si>
  <si>
    <t xml:space="preserve"> 06 Kelių ir gatvių priežiūra Šilų seniūnijoje</t>
  </si>
  <si>
    <t xml:space="preserve"> 07 Kelių ir gatvių priežiūra Upninkų seniūnijoje</t>
  </si>
  <si>
    <t xml:space="preserve"> 08 Kelių ir gatvių priežiūra Užusalių seniūnijoje</t>
  </si>
  <si>
    <t xml:space="preserve"> 01 Kitos paskirties savivaldybės pastatų atnaujinimas</t>
  </si>
  <si>
    <t xml:space="preserve"> 02 Savivaldybės kontrolieriaus funkcijų vykdymas</t>
  </si>
  <si>
    <t xml:space="preserve"> 02 Užtikrinti efektyvų valstybinių (perduotų savivaldybėms) funkcijų vykdymą</t>
  </si>
  <si>
    <t xml:space="preserve"> 01 Neįgaliųjų būsto pritaikymo jų poreikiams dalinis finansavimas</t>
  </si>
  <si>
    <t xml:space="preserve"> 01 Mero fondas</t>
  </si>
  <si>
    <t xml:space="preserve"> 02 Administracijos direktoriaus rezervas</t>
  </si>
  <si>
    <t xml:space="preserve"> 04 Dengti su savivaldybės  turto valdymu susijusias ir kitas išlaidas</t>
  </si>
  <si>
    <t xml:space="preserve"> 01 Vienkartinių ir kitų išlaidų finansavimas</t>
  </si>
  <si>
    <t xml:space="preserve"> 06 Koordinuoti Europos Sąjungos paramos, kitų programų paramos panaudojimą Jonavos rajono savivaldybėje</t>
  </si>
  <si>
    <t xml:space="preserve"> 01 Dalyvauti, planuoti ir valdyti ES ir kitų programų finansuojamus projektus</t>
  </si>
  <si>
    <t xml:space="preserve"> 01  Jonavos savivaldybės teatro veikla</t>
  </si>
  <si>
    <t xml:space="preserve"> 02 Sveikatingumo ir sporto programos įgyvendinimas</t>
  </si>
  <si>
    <t xml:space="preserve"> 01 Sudaryti sąlygas rajono gyventojams kultivuoti įvairias sporto šakas ir plėtoti kūno kultūrą ir sportą visiems </t>
  </si>
  <si>
    <t xml:space="preserve"> 02 Skatinti už pasiektus aukštus sportinius rezultatus</t>
  </si>
  <si>
    <t xml:space="preserve"> 03 Remti sporto klubų veiklą</t>
  </si>
  <si>
    <t xml:space="preserve"> 02 Puoselėti kilnojamąjį ir nekilnojamąjį kultūros paveldą</t>
  </si>
  <si>
    <t xml:space="preserve"> 01 Vykdyti kultūros paveldo objektų priežiūrą, tvarkybą ir būklės kitimo stebėseną</t>
  </si>
  <si>
    <t xml:space="preserve"> 03 Skatinti bendruomeniškumą kaime</t>
  </si>
  <si>
    <t>Gatvių apšvietimo lempų skaičius (vnt.)</t>
  </si>
  <si>
    <t xml:space="preserve"> 05 Vienkartinės išmokos</t>
  </si>
  <si>
    <t>Tik krepšelis</t>
  </si>
  <si>
    <t>Dalyvavusių kvalifikacijos kėlimo mokymuose skaičius (vnt.)</t>
  </si>
  <si>
    <t>Pavadinimas</t>
  </si>
  <si>
    <t>9 priedas</t>
  </si>
  <si>
    <t>Paremtų daugiabučių namų bendrijų skaičius (vnt.)</t>
  </si>
  <si>
    <t>Ekonominės klasifikacijos grupės</t>
  </si>
  <si>
    <t xml:space="preserve">1. Iš viso išlaidų </t>
  </si>
  <si>
    <t>2. Finansavimo šaltiniai</t>
  </si>
  <si>
    <t xml:space="preserve"> 01  Atlikti kultūros paveldo objektų būklės kitimo stebėseną ir fotofiksaciją bei pateikti ataskaitą Kultūros paveldo departamnetui prie Lietuvos Respublikos kultūros ministerijos</t>
  </si>
  <si>
    <t xml:space="preserve"> 01 Drenažo sistemų remontas ir rekonstrukcija</t>
  </si>
  <si>
    <t xml:space="preserve"> 03 Hidrotechninių statinių remontas ir priežiūra</t>
  </si>
  <si>
    <t xml:space="preserve"> 02 Rekonstruoti ir remontuoti pralaidas ir griovius</t>
  </si>
  <si>
    <t xml:space="preserve"> 02 Remti savivaldybės kontroliuojamų įmonių veiklą</t>
  </si>
  <si>
    <t xml:space="preserve"> 02 Prevencinės priemonės, kuriomis siekiama išvengti medžiojamųjų gyvūnų daromos žalos miškui</t>
  </si>
  <si>
    <t xml:space="preserve"> 01 Kelių ir gatvių priežiūra Bukonių seniūnijoje</t>
  </si>
  <si>
    <t xml:space="preserve"> 02 Organizuoti  bei teikti socialines paslaugas įvairioms rajono gyventojų socialinėms grupėms</t>
  </si>
  <si>
    <t xml:space="preserve"> 01 Užtikrinti vaikų, jaunuolių ir suaugusiųjų su proto ir kompleksine negalia globą</t>
  </si>
  <si>
    <t xml:space="preserve"> 04 Užtikrinti vaiko globą</t>
  </si>
  <si>
    <t xml:space="preserve"> 05 Užtikrinti asmenų be pastovios gyvenamosios vietos socialines garantijas, suteikiant laikiną prieglobstį</t>
  </si>
  <si>
    <t xml:space="preserve"> 01 Suteikti laikino apgyvendinimo paslaugas Nakvynės namuose </t>
  </si>
  <si>
    <t xml:space="preserve"> 03 Plėtoti socialinių paslaugų infrastruktūrą bei prisidėti prie pilietinės visuomenės formavimo, palaikant bendruomenės iniciatyvas</t>
  </si>
  <si>
    <t xml:space="preserve"> 01 Užtikrinti socialinių paslaugų, teikiamų įvairioms miesto gyventojų socialinėms grupėms, įvairovę</t>
  </si>
  <si>
    <t xml:space="preserve"> 02 Paskolų mokėjimas pagal pasirašytas paskolų grąžinimo sutartis ir kitų finansinių įsipareigojimų vykdymas </t>
  </si>
  <si>
    <t xml:space="preserve"> 03 Administracijos ir seniūnijų darbo organizavimas</t>
  </si>
  <si>
    <t xml:space="preserve"> 04 Savivaldybės tarybos narių ir administracijos darbuotojų mokymo programos vykdymas</t>
  </si>
  <si>
    <t xml:space="preserve"> 01 Tarybos darbo organizavimas</t>
  </si>
  <si>
    <t xml:space="preserve"> 01 Subsidija miesto pirties ir viešojo tualeto išlaidoms</t>
  </si>
  <si>
    <t xml:space="preserve"> 04 Vykdant LR teisės aktus apskaičiuoti ir išmokėti kompensacijas</t>
  </si>
  <si>
    <t xml:space="preserve"> 02 Kompensuoti vežėjams nuostolius dėl LR transporto įstatyme numatytų lengvatų teikimo</t>
  </si>
  <si>
    <t xml:space="preserve"> 05 Savivaldybės socialinio būsto plėtra</t>
  </si>
  <si>
    <t xml:space="preserve"> 01 Savivaldybės socialinio būsto plėtra ir būsto atnaujinimas </t>
  </si>
  <si>
    <t>Priimtų tarybos sprendimų skaičius (vnt.)</t>
  </si>
  <si>
    <t xml:space="preserve"> 01 Traktorių ir priekabų valstybinių numerių, registracijos liudijimų, techninės apžiūros talonų įsigijimas</t>
  </si>
  <si>
    <t>1.1. priedas</t>
  </si>
  <si>
    <t>Miestų-partnerių skaičius (vnt.)</t>
  </si>
  <si>
    <t xml:space="preserve">1. Iš viso asignavimų </t>
  </si>
  <si>
    <t xml:space="preserve"> 01 Pedagoginės psichologinės tarnybos papildomos švietimo paslaugos</t>
  </si>
  <si>
    <t xml:space="preserve"> 02 Teikti tinkamą pedagoginę psichologinę pagalbą</t>
  </si>
  <si>
    <t xml:space="preserve"> 02 Pedagoginės psichologinės tarnybos aplinkos finansavimas</t>
  </si>
  <si>
    <t xml:space="preserve"> 02 Sukurti efektyvią ir darnią švietimo sistemą</t>
  </si>
  <si>
    <t xml:space="preserve"> 03 Tobulinti ugdymo(si) kokybę</t>
  </si>
  <si>
    <t xml:space="preserve"> 01 Centralizuotas fondas švietimo reikmėms</t>
  </si>
  <si>
    <t xml:space="preserve"> 04 Kultūros veiklos sklaida ir jos vaidmens bendruomenės gyvenime didinimas</t>
  </si>
  <si>
    <t xml:space="preserve"> 01 Sudaryti sąlygas visuomenei dalyvauti kultūroje ir ją vartoti</t>
  </si>
  <si>
    <t xml:space="preserve"> 01 Jonavos savivaldybės kultūros centro veikla</t>
  </si>
  <si>
    <t xml:space="preserve"> 02 Modernizuojant bibliotekas gerinti gyventojų informacinį aprūpinimą</t>
  </si>
  <si>
    <t xml:space="preserve"> 03 Išsaugoti istorinę atmintį ją skleisti visuomenei</t>
  </si>
  <si>
    <t xml:space="preserve"> 01 Krašto muziejaus veikla</t>
  </si>
  <si>
    <t xml:space="preserve"> 05 Užtikrinti kūno kultūros ir sporto centro funkcionavimą bei jo strateginių tikslų vykdymą</t>
  </si>
  <si>
    <t xml:space="preserve"> 01 Kūno kultūros ir sporto plėtra</t>
  </si>
  <si>
    <t xml:space="preserve"> 01 Siekti efektyvios veiklos kūno kultūros ir sporto srityje stiprinant etatinių ir pedagoginių darbuotojų gebėjimus</t>
  </si>
  <si>
    <t>8.1. priedas</t>
  </si>
  <si>
    <t xml:space="preserve"> 02 Mokymo aplinkos finansavimas</t>
  </si>
  <si>
    <t xml:space="preserve"> 01 Sudaryti lygias mokymosi galimybes ir prieinamumą</t>
  </si>
  <si>
    <t xml:space="preserve"> 04 Atstatyti gamtinius išteklius</t>
  </si>
  <si>
    <t xml:space="preserve"> 01 Moksleivio krepšelio finansavimas </t>
  </si>
  <si>
    <t xml:space="preserve"> 01 Skatinti kaimo plėtrą ir didinti žemės ūkio konkurencingumą</t>
  </si>
  <si>
    <t xml:space="preserve"> 01 Užtikrinti melioruotų žemių (savininkams) naudotojams kokybiškos sausinimo paslaugos teikimą</t>
  </si>
  <si>
    <t xml:space="preserve"> 05 Informacinių sistemų ir duomenų centrų priežiūra</t>
  </si>
  <si>
    <t xml:space="preserve"> 01 Globoti žmones globos namuose</t>
  </si>
  <si>
    <t xml:space="preserve"> 02 Globoti žmones su sunkia negalia globos namuose</t>
  </si>
  <si>
    <t xml:space="preserve"> 02 Užtikrinti  žmonių ir žmonių su negalia globą globos namuose</t>
  </si>
  <si>
    <t xml:space="preserve">strateginio veiklos plano programos </t>
  </si>
  <si>
    <t>"Švietimas, kultūra ir sportas"</t>
  </si>
  <si>
    <t>ŠVIETIMO, KULTŪROS IR SPORTO PROGRAMOS (NR. 1)</t>
  </si>
  <si>
    <t>Veiklos plano programos tikslo kodas</t>
  </si>
  <si>
    <t>Uždavinio kodas</t>
  </si>
  <si>
    <t>Priemonės kodas</t>
  </si>
  <si>
    <t>Priemonės požymis</t>
  </si>
  <si>
    <t>Finansavimo šaltinis</t>
  </si>
  <si>
    <t>Vertinimo kriterijai</t>
  </si>
  <si>
    <t>Planas</t>
  </si>
  <si>
    <t>TIKSLŲ, UŽDAVINIŲ, PRIEMONIŲ, PRIEMONIŲ IŠLAIDŲ IR PRODUKTO KRITERIJŲ SUVESTINĖ</t>
  </si>
  <si>
    <t>Iš viso priemonei:</t>
  </si>
  <si>
    <t>Iš viso uždaviniui:</t>
  </si>
  <si>
    <t>VB</t>
  </si>
  <si>
    <t>SB</t>
  </si>
  <si>
    <t>TPP</t>
  </si>
  <si>
    <t xml:space="preserve"> 02 Ugdymo aplinkos finansavimas ikimokyklinėse įstaigose</t>
  </si>
  <si>
    <r>
      <t xml:space="preserve">SB </t>
    </r>
    <r>
      <rPr>
        <sz val="8"/>
        <rFont val="Times New Roman"/>
        <family val="1"/>
        <charset val="186"/>
      </rPr>
      <t>Savivaldybės biudžetas</t>
    </r>
  </si>
  <si>
    <r>
      <t xml:space="preserve">VB (STD) </t>
    </r>
    <r>
      <rPr>
        <sz val="8"/>
        <rFont val="Times New Roman"/>
        <family val="1"/>
        <charset val="186"/>
      </rPr>
      <t>Valstybės biudžeto special. tikslinė dotacija</t>
    </r>
  </si>
  <si>
    <r>
      <t xml:space="preserve">ES </t>
    </r>
    <r>
      <rPr>
        <sz val="8"/>
        <rFont val="Times New Roman"/>
        <family val="1"/>
        <charset val="186"/>
      </rPr>
      <t>Europos Sąjungos lėšos, užsienio fondų lėšos</t>
    </r>
  </si>
  <si>
    <r>
      <t xml:space="preserve">SAARS </t>
    </r>
    <r>
      <rPr>
        <sz val="8"/>
        <rFont val="Times New Roman"/>
        <family val="1"/>
        <charset val="186"/>
      </rPr>
      <t>Aplinkos apsaugos rėmimo specialioji programa</t>
    </r>
  </si>
  <si>
    <r>
      <t xml:space="preserve">KPPP </t>
    </r>
    <r>
      <rPr>
        <sz val="8"/>
        <rFont val="Times New Roman"/>
        <family val="1"/>
        <charset val="186"/>
      </rPr>
      <t>Kelių priežiūros ir plėtros programa</t>
    </r>
  </si>
  <si>
    <r>
      <rPr>
        <b/>
        <sz val="8"/>
        <rFont val="Times New Roman"/>
        <family val="1"/>
        <charset val="186"/>
      </rPr>
      <t>UF</t>
    </r>
    <r>
      <rPr>
        <sz val="8"/>
        <rFont val="Times New Roman"/>
        <family val="1"/>
        <charset val="186"/>
      </rPr>
      <t xml:space="preserve"> Užimtumo fondas</t>
    </r>
  </si>
  <si>
    <r>
      <t xml:space="preserve">VB </t>
    </r>
    <r>
      <rPr>
        <sz val="8"/>
        <rFont val="Times New Roman"/>
        <family val="1"/>
        <charset val="186"/>
      </rPr>
      <t>Valstybės biudžetas ir privatizavimo fondas</t>
    </r>
  </si>
  <si>
    <r>
      <t xml:space="preserve">SL </t>
    </r>
    <r>
      <rPr>
        <sz val="8"/>
        <rFont val="Times New Roman"/>
        <family val="1"/>
        <charset val="186"/>
      </rPr>
      <t>Skolintos lėšos</t>
    </r>
  </si>
  <si>
    <r>
      <t xml:space="preserve">PL </t>
    </r>
    <r>
      <rPr>
        <sz val="8"/>
        <rFont val="Times New Roman"/>
        <family val="1"/>
        <charset val="186"/>
      </rPr>
      <t>Privačios lėšos</t>
    </r>
  </si>
  <si>
    <r>
      <t xml:space="preserve">KL </t>
    </r>
    <r>
      <rPr>
        <sz val="8"/>
        <rFont val="Times New Roman"/>
        <family val="1"/>
        <charset val="186"/>
      </rPr>
      <t>Kitos lėšos</t>
    </r>
  </si>
  <si>
    <r>
      <t xml:space="preserve">TPP </t>
    </r>
    <r>
      <rPr>
        <sz val="8"/>
        <rFont val="Times New Roman"/>
        <family val="1"/>
        <charset val="186"/>
      </rPr>
      <t>Teikiamų paslaugų pajamos</t>
    </r>
  </si>
  <si>
    <t>VB-STD</t>
  </si>
  <si>
    <t xml:space="preserve"> 01 Siekti švietimo sistemos efektyvumo bei formaliojo ir neformaliojo ugdymo dermės </t>
  </si>
  <si>
    <t xml:space="preserve"> 01 Finansuoti ir prižiūrėti pavaldžias bendrojo lavinimo įstaigas, siekiant užtikrinti lygias mokymosi galimybes </t>
  </si>
  <si>
    <t>2018-ieji metai</t>
  </si>
  <si>
    <t>SOCIALINĖS APSAUGOS PLĖTOJIMAS PROGRAMOS (NR. 2)</t>
  </si>
  <si>
    <t xml:space="preserve"> 03 Socialinių paslaugų centro veikla</t>
  </si>
  <si>
    <t xml:space="preserve"> 03 Užtikrinti socialinių paslaugų teikimą per Socialinių paslaugų centrą ir socialinių projektų vykdymą</t>
  </si>
  <si>
    <t>SVEIKATOS APSAUGOS PROGRAMOS (NR. 3)</t>
  </si>
  <si>
    <t>ES</t>
  </si>
  <si>
    <t>EKONOMINIO KONKURENCINGUMO DIDINIMAS (NR. 4)</t>
  </si>
  <si>
    <t xml:space="preserve"> 02 Skatinti smulkaus ir vidutinio verslo bei ūkininkų ūkių plėtrą  </t>
  </si>
  <si>
    <t xml:space="preserve"> 03 Kurti naujas darbo vietas, didinti gyventojų užimtumą</t>
  </si>
  <si>
    <t>ŽEMĖS ŪKIO PLĖTRA IR MELIORACIJA (NR. 5)</t>
  </si>
  <si>
    <t xml:space="preserve"> 01 Žemdirbių profesinio meistriškumo ugdymo programa (renginiai)</t>
  </si>
  <si>
    <t xml:space="preserve"> 02 Palaikyti tinkamą melioracijos sistemų techninę būklę</t>
  </si>
  <si>
    <t xml:space="preserve"> 04 ES lėšomis rekonstruotų upelių griovių  priežiūra</t>
  </si>
  <si>
    <t>APLINKOS, KRAŠTOVAIZDŽIO IR VIEŠOJI APSAUGA (NR. 6)</t>
  </si>
  <si>
    <t>SAARS</t>
  </si>
  <si>
    <t xml:space="preserve"> 02 Atnaujinti JPGT inventorių, būtiną funkcijoms vykdyti</t>
  </si>
  <si>
    <t xml:space="preserve"> 01 Užtikrinti viešąją tvarką </t>
  </si>
  <si>
    <t xml:space="preserve"> 02 Stebėjimo kamerų Jonavoje eksploatavimas</t>
  </si>
  <si>
    <t xml:space="preserve"> 02 Tvarkyti, prižiūrėti savivaldybei priklausančius pastatus, statinius</t>
  </si>
  <si>
    <t xml:space="preserve"> 01 Skatinti daugiabučių namų atnaujinimą ir energinio efektyvumo didinimą</t>
  </si>
  <si>
    <t xml:space="preserve"> 01 Energinio efektyvumo didinimo daugiabučiuose namuose programos įgyvendinimas</t>
  </si>
  <si>
    <t xml:space="preserve"> 03 Skatinti savivaldybės teritorijoje esančių pastatų atnaujinimą</t>
  </si>
  <si>
    <t>SAVIVALDYBĖS INFRASTRUKTŪROS OBJEKTŲ PRIEŽIŪRA, MODERNIZAVIMAS IR PLĖTRA (NR. 7)</t>
  </si>
  <si>
    <t>SAVIVALDYBĖS VALDYMAS IR PAGRINDINIŲ FUNKCIJŲ VYKDYMAS (NR. 8)</t>
  </si>
  <si>
    <t xml:space="preserve"> 02 Centralizuotas fondas avariniams remonto darbams</t>
  </si>
  <si>
    <t>03 Skatinti sportinę  veiklą kaimo vietovėse</t>
  </si>
  <si>
    <t xml:space="preserve"> 01 Remti sporto organizatorių veiklą kaimo seniūnijose</t>
  </si>
  <si>
    <t>PPT įvertintų specialiųjų ugdymosi poreikių vaikų skaičius (vnt.)</t>
  </si>
  <si>
    <t>PPT organizuotų seminarų klausytojų skaičius (vnt.)</t>
  </si>
  <si>
    <t>PPT organizuotų seminarų skaičius (vnt.)</t>
  </si>
  <si>
    <t xml:space="preserve"> 01  Ugdymo aplinkos  finansavimas Meno mokykloje</t>
  </si>
  <si>
    <t xml:space="preserve"> 05 Meninės veiklos ugdymas</t>
  </si>
  <si>
    <t xml:space="preserve"> 01 Žmonių su proto ir kompleksine negalia globos užtikrinimas ir darbinis ugdymas Jonavos Neįgaliųjų veiklos centre</t>
  </si>
  <si>
    <t>Administracija</t>
  </si>
  <si>
    <t>KPPP</t>
  </si>
  <si>
    <t>Kulvos A.Kulviečio mok.</t>
  </si>
  <si>
    <t>Barupės mok.</t>
  </si>
  <si>
    <t>L/d "Žilvitis"</t>
  </si>
  <si>
    <t>L/d "Lakštingalėlė"</t>
  </si>
  <si>
    <t>L/d "Pakalnutė"</t>
  </si>
  <si>
    <t>JKKSC</t>
  </si>
  <si>
    <t>Neįgaliųjų VC</t>
  </si>
  <si>
    <t>JPGT</t>
  </si>
  <si>
    <t>Miesto sen.</t>
  </si>
  <si>
    <t>Bukonių sen.</t>
  </si>
  <si>
    <t>Užusalių sen.</t>
  </si>
  <si>
    <t>Kulvos sen.</t>
  </si>
  <si>
    <t>Ruklos sen.</t>
  </si>
  <si>
    <t>Upninkų sen.</t>
  </si>
  <si>
    <t>Žeimių sen.</t>
  </si>
  <si>
    <t>Šilų sen.</t>
  </si>
  <si>
    <t xml:space="preserve"> 02 Priemonės vandentvarkos objektams projektuoti, statyti, rekonstruoti, remontuoti, eksploatuoti</t>
  </si>
  <si>
    <t xml:space="preserve"> 03 Priemonės atliekų tvarkymo infrastruktūrai</t>
  </si>
  <si>
    <t xml:space="preserve"> 04 Priemonės atliekų tvarkymui, kurių turėtojo neįmanoma nustatyti</t>
  </si>
  <si>
    <t xml:space="preserve"> 05 Priemonės želdiniams</t>
  </si>
  <si>
    <t>Kontrolės tarnyba</t>
  </si>
  <si>
    <t>D/m "Bitutė"</t>
  </si>
  <si>
    <t>L/d "Saulutė"</t>
  </si>
  <si>
    <t>L/d "Dobilas"</t>
  </si>
  <si>
    <t>L/d "Voveraitė"</t>
  </si>
  <si>
    <t>J.Ralio gimnazija</t>
  </si>
  <si>
    <t>Senamiesčio gimnazija</t>
  </si>
  <si>
    <t>R.Samulevičiaus progimnazija</t>
  </si>
  <si>
    <t>J.Vareikio progimnazija</t>
  </si>
  <si>
    <t>Panoterių P.Vaičiūno pagr.mok.</t>
  </si>
  <si>
    <t>Upninkų pagr.mok.</t>
  </si>
  <si>
    <t>Užusalių pagr.mok</t>
  </si>
  <si>
    <t>Globos namai</t>
  </si>
  <si>
    <t>Vaikų globos namai</t>
  </si>
  <si>
    <t>Soc. paslaugų centras</t>
  </si>
  <si>
    <t>Nakvynės namai</t>
  </si>
  <si>
    <t>Kultūros centras</t>
  </si>
  <si>
    <t xml:space="preserve"> 01 Viešosios bibliotekos veikla</t>
  </si>
  <si>
    <t>Biblioteka</t>
  </si>
  <si>
    <t>Vis.sveikatos biuras</t>
  </si>
  <si>
    <t>Suorganizuotų fotoparodų skaičius (vnt.)</t>
  </si>
  <si>
    <t>Administracija - SŠC</t>
  </si>
  <si>
    <t xml:space="preserve"> 01 Biudžetinių įstaigų šilumos inžinerinių įrenginių priežiūra, liftų priežiūra, el. linijos eksploatavimas</t>
  </si>
  <si>
    <t>Jonavos prad.mok</t>
  </si>
  <si>
    <t>Jaunimo mok.</t>
  </si>
  <si>
    <t>Šveicarijos pagr.mok</t>
  </si>
  <si>
    <t xml:space="preserve"> 02  Meno mokykloje ugdytinių dalyvavimas respublikiniuose renginiuose ir kt. programos</t>
  </si>
  <si>
    <t>PPT</t>
  </si>
  <si>
    <t xml:space="preserve"> 02 Krašto muziejaus leidinių leidybą ir projektų įgyvendinimas</t>
  </si>
  <si>
    <t xml:space="preserve"> 02 Sveikatos priežiūros švietimo įstaigose finansavimas</t>
  </si>
  <si>
    <t>UF</t>
  </si>
  <si>
    <t>KL</t>
  </si>
  <si>
    <r>
      <t xml:space="preserve">VB (STD) </t>
    </r>
    <r>
      <rPr>
        <sz val="9"/>
        <rFont val="Times New Roman"/>
        <family val="1"/>
        <charset val="186"/>
      </rPr>
      <t>Valstybės biudžeto special. tikslinė dotacija</t>
    </r>
  </si>
  <si>
    <r>
      <t xml:space="preserve">ES </t>
    </r>
    <r>
      <rPr>
        <sz val="9"/>
        <rFont val="Times New Roman"/>
        <family val="1"/>
        <charset val="186"/>
      </rPr>
      <t>Europos Sąjungos lėšos, užsienio fondų lėšos</t>
    </r>
  </si>
  <si>
    <r>
      <t xml:space="preserve">SAARS </t>
    </r>
    <r>
      <rPr>
        <sz val="9"/>
        <rFont val="Times New Roman"/>
        <family val="1"/>
        <charset val="186"/>
      </rPr>
      <t>Aplinkos apsaugos rėmimo specialioji programa</t>
    </r>
  </si>
  <si>
    <r>
      <t xml:space="preserve">KPPP </t>
    </r>
    <r>
      <rPr>
        <sz val="9"/>
        <rFont val="Times New Roman"/>
        <family val="1"/>
        <charset val="186"/>
      </rPr>
      <t>Kelių priežiūros ir plėtros programa</t>
    </r>
  </si>
  <si>
    <r>
      <t>UF</t>
    </r>
    <r>
      <rPr>
        <sz val="9"/>
        <rFont val="Times New Roman"/>
        <family val="1"/>
        <charset val="186"/>
      </rPr>
      <t xml:space="preserve"> Užimtumo fondas</t>
    </r>
  </si>
  <si>
    <r>
      <t xml:space="preserve">VB </t>
    </r>
    <r>
      <rPr>
        <sz val="9"/>
        <rFont val="Times New Roman"/>
        <family val="1"/>
        <charset val="186"/>
      </rPr>
      <t>Valstybės biudžetas ir privatizavimo fondas</t>
    </r>
  </si>
  <si>
    <r>
      <t xml:space="preserve">SL </t>
    </r>
    <r>
      <rPr>
        <sz val="9"/>
        <rFont val="Times New Roman"/>
        <family val="1"/>
        <charset val="186"/>
      </rPr>
      <t>Skolintos lėšos</t>
    </r>
  </si>
  <si>
    <r>
      <t xml:space="preserve">PL </t>
    </r>
    <r>
      <rPr>
        <sz val="9"/>
        <rFont val="Times New Roman"/>
        <family val="1"/>
        <charset val="186"/>
      </rPr>
      <t>Privačios lėšos</t>
    </r>
  </si>
  <si>
    <r>
      <t xml:space="preserve">KL </t>
    </r>
    <r>
      <rPr>
        <sz val="9"/>
        <rFont val="Times New Roman"/>
        <family val="1"/>
        <charset val="186"/>
      </rPr>
      <t>Kitos lėšos</t>
    </r>
  </si>
  <si>
    <r>
      <t xml:space="preserve">TPP </t>
    </r>
    <r>
      <rPr>
        <sz val="9"/>
        <rFont val="Times New Roman"/>
        <family val="1"/>
        <charset val="186"/>
      </rPr>
      <t>Teikiamų paslaugų pajamos</t>
    </r>
  </si>
  <si>
    <r>
      <t xml:space="preserve">SB </t>
    </r>
    <r>
      <rPr>
        <sz val="9"/>
        <rFont val="Times New Roman"/>
        <family val="1"/>
        <charset val="186"/>
      </rPr>
      <t>Savivaldybės biudžetas</t>
    </r>
  </si>
  <si>
    <t xml:space="preserve"> 05 Melioracijos sistemų gerinimo projektų įgyvendinimas</t>
  </si>
  <si>
    <t>Įstaigą lankančių vaikų skaičius (vnt.)</t>
  </si>
  <si>
    <t>Valomų gatvių ir šaligatvių plotas (ha)</t>
  </si>
  <si>
    <t>01 Vykdyti valstybines (perduotas savivaldybėms) funkcijas</t>
  </si>
  <si>
    <t>Gautų skundų skaičius, dėl moterų ir vyrų lygių galimybių neužtikrinimo (vnt.)</t>
  </si>
  <si>
    <t xml:space="preserve"> 01 Išduoti beprocentines paskolas ir teikti negrąžintiną finansinę paramą smulkioms ir vidutinėms įmonėms bei ūkininkams</t>
  </si>
  <si>
    <t>Įstaigą lankančių mokinių skaičius (vnt.)</t>
  </si>
  <si>
    <t>"Lietavos" pagr.mokykla</t>
  </si>
  <si>
    <t>"Neries" pagr.mokykla</t>
  </si>
  <si>
    <t>Žeimių mokykla - DC</t>
  </si>
  <si>
    <t>Panoterių P.Vaičiūno pagr.mokykla</t>
  </si>
  <si>
    <t>Bukonių mokykla - DC</t>
  </si>
  <si>
    <t>Upninkų pagr.mokykla</t>
  </si>
  <si>
    <t>Ruklos J.Stanislausko mokykla - DC</t>
  </si>
  <si>
    <t>Kulvos A.Kulviečio pagr.mokykla</t>
  </si>
  <si>
    <t>Užusalių pagr.mokykla</t>
  </si>
  <si>
    <t>Šveicarijos pagr.mokykla</t>
  </si>
  <si>
    <t>Jonavos prad.mokykla</t>
  </si>
  <si>
    <t>Panerio prad.mokykla</t>
  </si>
  <si>
    <t>Jaunimo mokykla</t>
  </si>
  <si>
    <t>2019-ieji metai</t>
  </si>
  <si>
    <t>Senyvo amžiaus asmenų ir asmenų su negalia, gaunančių socialines paslaugas, skaičius (vnt.)</t>
  </si>
  <si>
    <t>Šveicarijos sen.</t>
  </si>
  <si>
    <t xml:space="preserve"> 02 Kelių ir gatvių priežiūra Šveicarijos seniūnijoje</t>
  </si>
  <si>
    <t>Įsigytų teisinių paslaugų skaičius, (advokatai, anstoliai) (vnt.)</t>
  </si>
  <si>
    <t>Atliktų auditų skaičius (vnt.)</t>
  </si>
  <si>
    <t>Įgyvendintų rekomendacijų (proc.)</t>
  </si>
  <si>
    <t>Įgyvendintų administracinės naštos mažinimo priemonių skaičius (vnt.)</t>
  </si>
  <si>
    <t>Jonavos rajone veikiančių jaunimo ir su jaunimu dirbančių organizacijų skaičius (vnt.)</t>
  </si>
  <si>
    <t>Viso Jonavos rajone įregistruotų ūkininkų ūkių skaičius (vnt.)</t>
  </si>
  <si>
    <t>Perduotų žemės sklypų pasitikėjimo teise skaičius (vnt.)</t>
  </si>
  <si>
    <t>Perduotų žemės sklypų pagal panaudos sutartis skaičius (vnt.)</t>
  </si>
  <si>
    <t>Serverinės, kopijų darymo sistemų, licencijų skaičius (vnt.)</t>
  </si>
  <si>
    <t>Darželių registravimo programos administravimas (vnt.)</t>
  </si>
  <si>
    <t>Tarybos salės programos administravimas (vnt.)</t>
  </si>
  <si>
    <t>Buhalterinės programos Lobster administravimas (vnt.)</t>
  </si>
  <si>
    <t>Esri programinės įrangos ArGIS administravimas (vnt.)</t>
  </si>
  <si>
    <t>Buhalterinės programos ŽŪ modulio administravimas (vnt.)</t>
  </si>
  <si>
    <t>Virtualių serverių nuoma (vnt.)</t>
  </si>
  <si>
    <t>Interneto ryšys per infrastruktūrą (vnt.)</t>
  </si>
  <si>
    <t xml:space="preserve"> 01 Moksleivio krepšelio finansavimas ikimokyklinėse įstaigose  (ikimokyklinio ugdymo grupėse)</t>
  </si>
  <si>
    <t>Barupės mokykla</t>
  </si>
  <si>
    <t>Bendras likviduotų įmonių saugomų dokumentų kiekis (m.)</t>
  </si>
  <si>
    <t>Dokumentus perdavusių likviduotų įmonių skaičius (vnt.)</t>
  </si>
  <si>
    <t>Išduotų archyvo pažymų skaičius (vnt.)</t>
  </si>
  <si>
    <t>Priimtų užsienio delegacijų skaičius (vnt.)</t>
  </si>
  <si>
    <t>Vizitų į užsienį skaičius (vnt.)</t>
  </si>
  <si>
    <t>Darbo susitikimų skaičius (vnt.)</t>
  </si>
  <si>
    <t>Švenčių ir renginių skaičius (vnt.)</t>
  </si>
  <si>
    <t>Suteiktų deklaravimo paslaugų skaičius (vnt.)</t>
  </si>
  <si>
    <t xml:space="preserve">Įvykdytų mobilizacijos pratybų, skaičius </t>
  </si>
  <si>
    <t>Projektas 2019 metams</t>
  </si>
  <si>
    <t>Vaikų vasaros poilsio, socializacijos ir kt. programų, projektų skaičius (vnt.)</t>
  </si>
  <si>
    <t>Lavinamojoje ir soc. įgūdžių klasėse besimokančiųjų mokinių skaičius (vnt.)</t>
  </si>
  <si>
    <t>Įsigytos mokyklinės dokumentacijos skaičius (vnt.)</t>
  </si>
  <si>
    <t>Suorganizuotų olimpiadų, renginių, metodinių išvykų skaičius (vnt.)</t>
  </si>
  <si>
    <t>Trečio amžiaus universitetą lankančių skaičius (vnt.)</t>
  </si>
  <si>
    <t>Finansuotų jaunimo projektų skaičius (vnt.)</t>
  </si>
  <si>
    <t>Žmonių skaičius, atsakingų už brandos egzaminų administravimą, vykdymą ir vertinimą (vnt.)</t>
  </si>
  <si>
    <t>Nuostolingų mokyklų skaičius (vnt.)</t>
  </si>
  <si>
    <t>Mokinių skaičius, gaunančių stipendijas (vnt.)</t>
  </si>
  <si>
    <t>Atlikta brandumo mokyklai įvertinimų skaičius (vnt.)</t>
  </si>
  <si>
    <t>Moksleiviams suteiktos pedagoginės, psichologinės konsultacijos konsultacijos skaičius (vnt.)</t>
  </si>
  <si>
    <t>Viešosios bibliotekos lankytojų skaičius (vnt.)</t>
  </si>
  <si>
    <t>Viešosios bibliotekos skaitytojų skaičius (vnt.)</t>
  </si>
  <si>
    <t>Meno mokyklą lankančių vaikų skaičius (vnt.)</t>
  </si>
  <si>
    <t>Lavinamojoj klasėje besimokančiųjų vaikų skaičius (vnt.)</t>
  </si>
  <si>
    <t>Iš viso programos tikslui:</t>
  </si>
  <si>
    <t>Įstaigas lankančių vaikų skaičius (vnt.)</t>
  </si>
  <si>
    <t>Švietimo įstaigas lankančių vaikų skaičius (vnt.)</t>
  </si>
  <si>
    <t>Švietimo įstaigą lankančių vaikų skaičius (vnt.)</t>
  </si>
  <si>
    <t>Mokinių skaičius su specialiaisiais ugdymo poreikiais, iš viso (vnt.)</t>
  </si>
  <si>
    <t>Mokinių skaičius, iš viso (vnt.)</t>
  </si>
  <si>
    <t>Vaikų, dalyvaujančių socializacijos programose, skaičius (vnt.)</t>
  </si>
  <si>
    <t>Iš viso programai:</t>
  </si>
  <si>
    <t>Atlikti paviršinių nuotekų Jonavos m. kadastrinius matavimus, km</t>
  </si>
  <si>
    <t>Surengtų švenčių skaičius (vnt.)</t>
  </si>
  <si>
    <t>Surengtų konkursų skaičius (vnt.)</t>
  </si>
  <si>
    <t>Išduotų traktorių ir priekabų valstybinių numerių skaičius (vnt.)</t>
  </si>
  <si>
    <t>Išduotų registracijos liudijimų skaičius (vnt.)</t>
  </si>
  <si>
    <t>Išduotų techninės apžiūros talonų skaičius (vnt.)</t>
  </si>
  <si>
    <t>Suremontuoto drenažo plotas (ha)</t>
  </si>
  <si>
    <t>Suremontuotų ir prižiūrėtų griovių ilgis (km)</t>
  </si>
  <si>
    <t>Prižiūrimi suremontuoti grioviai (km)</t>
  </si>
  <si>
    <t>Įgyvendintų melioracijos projektų  skaičius (vnt.)</t>
  </si>
  <si>
    <t>Parengtų rekomendacijų skaičius (vnt.)</t>
  </si>
  <si>
    <t>Įregistruotų gimimų skaičius (vnt.)</t>
  </si>
  <si>
    <t>Įregistruotų mirčių skaičius (vnt.)</t>
  </si>
  <si>
    <t>Įregistruotų santuokų skaičius (vnt.)</t>
  </si>
  <si>
    <t>Įregistruotų santuokų nutraukimo skaičius (vnt.)</t>
  </si>
  <si>
    <t>Įrašytų civilinės būklės akto įrašo papildymų, pakeitimų, ištaisymų įrašų skaičius (vnt.)</t>
  </si>
  <si>
    <t>Suteiktų konsultacijų skaičius, valstybinės kalbos taisyklingumo ir vartosenos klausimais (vnt.)</t>
  </si>
  <si>
    <t>Patikrintų įstaigų skaičius (vnt.)</t>
  </si>
  <si>
    <t>Civilinės saugos mokymų skaičius (vnt.)</t>
  </si>
  <si>
    <t>Dalyvavusių civilinės saugos mokymuose skaičius (vnt.)</t>
  </si>
  <si>
    <t>Nemokamai suteiktų teisinės pagalbos konsultacijų skaičius (vnt.)</t>
  </si>
  <si>
    <t>Surašytų prašymų skaičius antrinei teisinei pagalbai gauti (vnt.)</t>
  </si>
  <si>
    <t>Jonavos rajono seniūnijų seniūnaitijų seniūnaičių skaičius (vnt.)</t>
  </si>
  <si>
    <t>Savivaldybės vardu išduotų statybos leidimų skaičius (vnt.)</t>
  </si>
  <si>
    <t>Nedarbo lygis (proc.)</t>
  </si>
  <si>
    <t>Bendrojo lavinimo mokyklų  žaidynių atskirų sporto šakų varžybų skaičius  (vnt.)</t>
  </si>
  <si>
    <t>Mokinių, dalyvaujančių bendrojo lavinimo mokyklų  žaidynėse, skaičius (vnt.)</t>
  </si>
  <si>
    <t>Įrengtų informacinių lentų, kelio ženklų ir krypties rodyklių skaičius (vnt.)</t>
  </si>
  <si>
    <t>Pakeistų šviestuvų į LED skaičius (vnt.)</t>
  </si>
  <si>
    <t>Tikslinių grupių asmenų, gavusių tiesioginės naudos iš investicijų į socialinių paslaugų infrastruktūrą globos namuose skaičius (vnt.)</t>
  </si>
  <si>
    <t>Įsigytų socialinių būstų skaičius (vnt.)</t>
  </si>
  <si>
    <t>Renovuotų daugiabučių namų skaičius (vnt.)</t>
  </si>
  <si>
    <t>Renovuotuose namuose esančių sav. butų skaičius (vnt.)</t>
  </si>
  <si>
    <t>Įrengtų antžeminių/pusiau požeminių aikštelių, skaičius (vnt.)</t>
  </si>
  <si>
    <t>Dėžių, skirtų šunų ekskrementų surinkimui įsigijimas ir pastatymas Jonavos mieste (vnt)</t>
  </si>
  <si>
    <t>Aplinkos monitoringo programos priemonių skaičius (vnt.)</t>
  </si>
  <si>
    <t>Invazinių Lietuvoje rūšių sąraše esančių rūšių (Sosnovskio barštis ir pan.) kontrolės įgyvendinimo darbai, išvalytos teritorijos plotas (km.)</t>
  </si>
  <si>
    <t>Valdant ekstremalias situacijas, atliktų reikalingų aplinkos tyrimų skaičius (vnt.)</t>
  </si>
  <si>
    <t>Užtvankų skaičius, kuriose atlikti remonto ir rekonstravimo darbai (vnt.)</t>
  </si>
  <si>
    <t>Parengtų vandentvarkos objektų techninių dokumentų skaičius (vnt.)</t>
  </si>
  <si>
    <t>Lietaus nuotėkio plotas, iš kurio surenkamam paviršiniam vandeniui tvarkyti,  įrengta ir (ar) rekonstruota infrastruktūra (ha)</t>
  </si>
  <si>
    <t>Esamų paviršinių nuotekų tvarkymo sistemų inventorizacija (proc.)</t>
  </si>
  <si>
    <t>Surinkta padangų kiekis (t)</t>
  </si>
  <si>
    <t>Želdinių apsauga tepant repelentais plotas (ha)</t>
  </si>
  <si>
    <t>Želdinių apsaugos aptveriant tvoromis plotas (ha)</t>
  </si>
  <si>
    <t>Aplinkosauginių renginių skaičius (vnt.)</t>
  </si>
  <si>
    <t>Informacinių leidinių skaičius  (vnt.)</t>
  </si>
  <si>
    <t>Įžuvintų vandens telkinių skaičius (vnt.)</t>
  </si>
  <si>
    <t>Vilkų ūkiniams gyvūnams padarytos žalos atlyginimas, gyv. skaičius (vnt.)</t>
  </si>
  <si>
    <t>Medelių apsaugos individualiomis apsaugos priemonėmis skaičius (vnt.)</t>
  </si>
  <si>
    <t>Pasodintų medžių skaičius (vnt.)</t>
  </si>
  <si>
    <t>Kultūros paveldo objektų stebėsenos aktų ir fotofiksacijos skaičius (vnt.)</t>
  </si>
  <si>
    <t>Suorganizuotų sklaidos renginių kultūros paveldo objektuose skaičius (vnt.)</t>
  </si>
  <si>
    <t>Įgyvendintų priemonių skaičius (vnt.)</t>
  </si>
  <si>
    <t>Vidutinis gaisrų skaičius (vnt.)</t>
  </si>
  <si>
    <t>Suremovuotų Jonavos rajono priešgaisrinės tarnybos pastatų skaičius (vnt.)</t>
  </si>
  <si>
    <t>Įsigytų gaisrinių automobilių skaičius (vnt.)</t>
  </si>
  <si>
    <t>Priemonių, vykdomų įgyvendinant Visuomenės sveikatos rėmimo specialiąją programą skaičius (vnt.)</t>
  </si>
  <si>
    <t>Kaimiškų seniūnijų prižiūrimų pastatų skaičius (vnt.)</t>
  </si>
  <si>
    <t>Prižiūrimų ir tvarkomų kapinių plotas (ha)</t>
  </si>
  <si>
    <t>Vietinių kelių ilgis Bukonių seniūnijoje (km.)</t>
  </si>
  <si>
    <t>Vietinių kelių ilgis Jonavos miesto seniūnijoje (km.)</t>
  </si>
  <si>
    <t>Vietinių kelių ilgis Kulvos seniūnijoje (km)</t>
  </si>
  <si>
    <t>Vietinių kelių ilgis Ruklos seniūnijoje (km)</t>
  </si>
  <si>
    <t>Vietinių kelių ilgis Šilų seniūnijoje (km)</t>
  </si>
  <si>
    <t>Vietinių kelių ilgis Upninkų seniūnijoje (km)</t>
  </si>
  <si>
    <t>Vietinių kelių ilgis Užusalių seniūnijoje (km)</t>
  </si>
  <si>
    <t>Vietinių kelių ilgis Žeimių seniūnijoje (km)</t>
  </si>
  <si>
    <t>Prižiūrimų įstaigų skaičius (vnt.)</t>
  </si>
  <si>
    <t>Liftų ir keltuvų, kuriems buvo atlikta aptarnavimo paslauga skaičius (vnt.)</t>
  </si>
  <si>
    <t>04 Mokėti globos (rūpybos) išmokas</t>
  </si>
  <si>
    <t>Išmokas privalomosios tarnybos karių vaikams gavusių skaičius (vnt.)</t>
  </si>
  <si>
    <t>Sportininkų skaičius, gaunančių sporto stipendijas (vnt.)</t>
  </si>
  <si>
    <t>Sportininkų ir trenerių skaičius, paskatintų už aukštus sportinius rezultatus (vnt.)</t>
  </si>
  <si>
    <t>Tarybos narių skaičius (vnt.)</t>
  </si>
  <si>
    <t> 540</t>
  </si>
  <si>
    <t>Fondo panaudojimas (proc.)</t>
  </si>
  <si>
    <t>Rezervo panaudojimo (proc.)</t>
  </si>
  <si>
    <t>Išmokas įsikūrimui gavusių skaičius (vnt.)</t>
  </si>
  <si>
    <t>Išmokas gavusių nėščiųjų skaičius (vnt.)</t>
  </si>
  <si>
    <t>Neįgaliųjų, gaunančių išmokas skaičius (vnt.)</t>
  </si>
  <si>
    <t>Mokinių, gaunančių nemokamą maitinimą, skaičius (vnt.)</t>
  </si>
  <si>
    <t>Mokinių, gaunančių nemokamą maitinimą skaičius (vnt.)</t>
  </si>
  <si>
    <t xml:space="preserve"> 04 Teikti socialinę paramą mokiniams už įsigytus produktus  
</t>
  </si>
  <si>
    <t>Neįgaliųjų veiklos centro paslaugų gavėjų skaičius (vnt.)</t>
  </si>
  <si>
    <t>Suteiktų miesto pirties ir viešojo tualeto paslaugų skaičius (vnt.)</t>
  </si>
  <si>
    <t>Socialinės priežiūros paslaugas gaunančių socialinės rizikos šeimų skaičius (vnt.)</t>
  </si>
  <si>
    <t>Suteiktų kompleksinės pagalbos šeimoms paslaugų skaičius (vnt.)</t>
  </si>
  <si>
    <t>Soc.globos asmenų su sunkia negalia skaičius (vnt.)</t>
  </si>
  <si>
    <t>Asmenų  su sunkia negalia, gaunančių socialines paslaugas skaičius (vnt.)</t>
  </si>
  <si>
    <t>Teikiamų socialinių paslaugų skaičius (vnt.)</t>
  </si>
  <si>
    <t>Jonavos vaikų globos namų paslaugų gavėjų skaičius (vnt.)</t>
  </si>
  <si>
    <t>Nakvynės namų paslaugų gavėjų skaičius (vnt.)</t>
  </si>
  <si>
    <t>Išlaikomų vaikų, netekusių tėvų  globos įstaigose skaičius (vnt.)</t>
  </si>
  <si>
    <t>Suorganizuotų renginių skaičius (vnt.)</t>
  </si>
  <si>
    <t>Išduotų paskolų skaičius (vnt.)</t>
  </si>
  <si>
    <t>09 Kelių ir gatvių priežiūra Žeimių seniūnijoje</t>
  </si>
  <si>
    <t xml:space="preserve"> 03 Pastatų Chemikų 136 ir Klaipėdos 15, Jonavoje ir Rukloje, išlaikymas ir tvarkymas</t>
  </si>
  <si>
    <t>11 Prisidėjimas prie Lietuvos automobilių kelių direkcijos lėšomis finansuojamų objektų (netinkamos išlaidos)</t>
  </si>
  <si>
    <t>Pastatytų mažosios architektūros skaičius (vnt.)</t>
  </si>
  <si>
    <t xml:space="preserve">10 Kaimo seniūnijų žvyrkelių remontas </t>
  </si>
  <si>
    <t>Kaimo seniūnijų skaičius, kurioms atliktas žvyrkelių remontas (vnt.)</t>
  </si>
  <si>
    <t>Atliktas Jonavos globos namų vidaus patalpų remontas</t>
  </si>
  <si>
    <t>Sutvarkytų daugiabučių kiemų skaičius (vnt.)</t>
  </si>
  <si>
    <t>Prižiūrimų ir tvarkomų viešųjų erdvių plotas (ha)</t>
  </si>
  <si>
    <t xml:space="preserve"> 03 Ruklos parapijos Carito vaikų dienos cenro programa </t>
  </si>
  <si>
    <t xml:space="preserve">Paremta Ruklos parapijos Carito vaikų dienos cenro programa </t>
  </si>
  <si>
    <t>Finansuotų bendruomeninių projektų skaičius (vnt.)</t>
  </si>
  <si>
    <t xml:space="preserve"> 03 Ugniagesių savanorių draugijos rėmimas</t>
  </si>
  <si>
    <t>Paremta ugniagesių savanorių draugija</t>
  </si>
  <si>
    <t>Eksploatuotų Virbalų ir Juodmenos kv. elektros linijos</t>
  </si>
  <si>
    <t xml:space="preserve"> 02 Visuomenės aplinkosauginis švietimas</t>
  </si>
  <si>
    <t>03 Didinti visuomenės informavimą ir ugdyti ekologiškai mąstančią visuomenę</t>
  </si>
  <si>
    <r>
      <t xml:space="preserve">SB </t>
    </r>
    <r>
      <rPr>
        <sz val="10"/>
        <rFont val="Times New Roman"/>
        <family val="1"/>
        <charset val="186"/>
      </rPr>
      <t>Savivaldybės biudžetas</t>
    </r>
  </si>
  <si>
    <r>
      <t xml:space="preserve">VB (STD) </t>
    </r>
    <r>
      <rPr>
        <sz val="10"/>
        <rFont val="Times New Roman"/>
        <family val="1"/>
        <charset val="186"/>
      </rPr>
      <t>Valstybės biudžeto special. tikslinė dotacija</t>
    </r>
  </si>
  <si>
    <r>
      <t xml:space="preserve">ES </t>
    </r>
    <r>
      <rPr>
        <sz val="10"/>
        <rFont val="Times New Roman"/>
        <family val="1"/>
        <charset val="186"/>
      </rPr>
      <t>Europos Sąjungos lėšos, užsienio fondų lėšos</t>
    </r>
  </si>
  <si>
    <r>
      <t xml:space="preserve">SAARS </t>
    </r>
    <r>
      <rPr>
        <sz val="10"/>
        <rFont val="Times New Roman"/>
        <family val="1"/>
        <charset val="186"/>
      </rPr>
      <t>Aplinkos apsaugos rėmimo specialioji programa</t>
    </r>
  </si>
  <si>
    <r>
      <t xml:space="preserve">KPPP </t>
    </r>
    <r>
      <rPr>
        <sz val="10"/>
        <rFont val="Times New Roman"/>
        <family val="1"/>
        <charset val="186"/>
      </rPr>
      <t>Kelių priežiūros ir plėtros programa</t>
    </r>
  </si>
  <si>
    <r>
      <rPr>
        <b/>
        <sz val="10"/>
        <rFont val="Times New Roman"/>
        <family val="1"/>
        <charset val="186"/>
      </rPr>
      <t>UF</t>
    </r>
    <r>
      <rPr>
        <sz val="10"/>
        <rFont val="Times New Roman"/>
        <family val="1"/>
        <charset val="186"/>
      </rPr>
      <t xml:space="preserve"> Užimtumo fondas</t>
    </r>
  </si>
  <si>
    <r>
      <t xml:space="preserve">VB </t>
    </r>
    <r>
      <rPr>
        <sz val="10"/>
        <rFont val="Times New Roman"/>
        <family val="1"/>
        <charset val="186"/>
      </rPr>
      <t>Valstybės biudžetas ir privatizavimo fondas</t>
    </r>
  </si>
  <si>
    <r>
      <t xml:space="preserve">SL </t>
    </r>
    <r>
      <rPr>
        <sz val="10"/>
        <rFont val="Times New Roman"/>
        <family val="1"/>
        <charset val="186"/>
      </rPr>
      <t>Skolintos lėšos</t>
    </r>
  </si>
  <si>
    <r>
      <t xml:space="preserve">PL </t>
    </r>
    <r>
      <rPr>
        <sz val="10"/>
        <rFont val="Times New Roman"/>
        <family val="1"/>
        <charset val="186"/>
      </rPr>
      <t>Privačios lėšos</t>
    </r>
  </si>
  <si>
    <r>
      <t xml:space="preserve">KL </t>
    </r>
    <r>
      <rPr>
        <sz val="10"/>
        <rFont val="Times New Roman"/>
        <family val="1"/>
        <charset val="186"/>
      </rPr>
      <t>Kitos lėšos</t>
    </r>
  </si>
  <si>
    <r>
      <t xml:space="preserve">TPP </t>
    </r>
    <r>
      <rPr>
        <sz val="10"/>
        <rFont val="Times New Roman"/>
        <family val="1"/>
        <charset val="186"/>
      </rPr>
      <t>Teikiamų paslaugų pajamos</t>
    </r>
  </si>
  <si>
    <t>Vietinių kelių ilgis Šveicarijos seniūnijoje (km.)</t>
  </si>
  <si>
    <t>Kultūros centrų lankytojų ir dalyvių skaičius (tūkst.)</t>
  </si>
  <si>
    <t xml:space="preserve"> 02 Finansuoti ir skatinti sėkmingus NVO kultūrinius projektus</t>
  </si>
  <si>
    <t>Finansuotų  projektų skaičius (vnt.)</t>
  </si>
  <si>
    <t>Suorganizuotų kultūros renginių skaičius Jonavos mieste (vnt.)</t>
  </si>
  <si>
    <t>Suorganizuotų kultūros renginių skaičius kaimiškosiose seniūnijose (vnt.)</t>
  </si>
  <si>
    <t>Eksponatų skaičius muziejuje (vnt.)</t>
  </si>
  <si>
    <t>Išleisto leidinio apie Jonavos kraštą skaičius (vnt.)</t>
  </si>
  <si>
    <t>Įgyvendinamų projektų skaičius (vnt.)</t>
  </si>
  <si>
    <t>Muziejaus siūlomų maršrutų skaičius (ekskursijų paslaugos) (vnt.)</t>
  </si>
  <si>
    <t>Teatro lankytojų ir dalyvių skaičius (tūkst.)</t>
  </si>
  <si>
    <t>Suorganizuotų teatro renginių skaičius (vnt.)</t>
  </si>
  <si>
    <t>Meno mokykla</t>
  </si>
  <si>
    <t>Suorganizuotų rajoninių renginių, koncertų ir konkursų skaičius (vnt.)</t>
  </si>
  <si>
    <t>Suorganizuotų tarptautinių ir Respublikinių renginių koncertų ir konkursų skaičius (vnt.)</t>
  </si>
  <si>
    <t>Kolektyvų skaičius, dalyvavusių Respublinėje moksleivių dainų šventėje (vnt.)</t>
  </si>
  <si>
    <t>Respublikinių renginių skaičius, kuriuose dalyvavo meno mokyklos moksleiviai (vnt.)</t>
  </si>
  <si>
    <t>2020-ieji metai</t>
  </si>
  <si>
    <t xml:space="preserve"> 01 Organizuoti ir užtikrinti socialinę paramą</t>
  </si>
  <si>
    <t xml:space="preserve"> 01 Organizuoti Lietuvos Respublikos teisės aktuose numatytos paramos bei paslaugų asmenims ir šeimos teikimą</t>
  </si>
  <si>
    <t xml:space="preserve"> 01 Kelionės išlaidų kompensavimas už lengvatinį keleivių vežimą</t>
  </si>
  <si>
    <t>Išnagrinėtų tėvų prašymų dėl kompleksinės pagalbos skyrimo vaikui ir jo tėvams (globėjams), skaičius (vnt.</t>
  </si>
  <si>
    <t>Surengtų seminarų skaičius, kompleksinės pagalbos šeimoms tema (vnt.)</t>
  </si>
  <si>
    <t>Išlaikomų pastatų skaičius (vnt.)</t>
  </si>
  <si>
    <t>Apdraustų objektų, skaičius (vnt.)</t>
  </si>
  <si>
    <t>Parduotų objektų, skaičius (vnt.)</t>
  </si>
  <si>
    <t>Neįregistruotų, registruotų objektų , skaičius (vnt.)</t>
  </si>
  <si>
    <t>Kvalifikacijos kėlimo seminarų skaičius (val./1 asm.)</t>
  </si>
  <si>
    <t xml:space="preserve">2018-2020 M. JONAVOS RAJONO SAVIVALDYBĖS </t>
  </si>
  <si>
    <t xml:space="preserve">Jonavos rajono savivaldybės 2018-2020-ųjų metų </t>
  </si>
  <si>
    <t>Administracijos teikiamų elektroninių paslaugų skaičius (vnt.)</t>
  </si>
  <si>
    <t>Gautų gyventojų prašymų ir pateiktų atsakymų santykis (proc.)</t>
  </si>
  <si>
    <t xml:space="preserve"> 06 Projekto "Paslaugų ir asmenų aptarnavimo kokybės gerinimas Jonavos rajono savivaldybės viešojoje bibliotekoje ir Jonavos rajono savivaldybės administracijoje" dalinis finansavimas</t>
  </si>
  <si>
    <t>Parengta piliečių chartija (vnt.)</t>
  </si>
  <si>
    <t>Savivaldybės institucijų ir įstaigų, įgyvendinusių paslaugų ir (ar) aptarnavimo kokybei gerinti skirtas priemones, skaičius (vnt.)</t>
  </si>
  <si>
    <t>Savivaldybės institucijų ir įstaigų, darbuotojai, kurie dalyvavo vykdytose veiklose, skirtose stiprinti teikiamų paslaugų ir (ar) aptarnavimo kokybės gerinimui reikalingas kompetencijas, skaičius (vnt.)</t>
  </si>
  <si>
    <t xml:space="preserve"> 01 Garantuoti tinkamą Savivaldybės funkcijų atlikimą</t>
  </si>
  <si>
    <t xml:space="preserve"> 01 Sudaryti sąlygas kokybiškai įgyvendinti Savivaldybės funkcijas, mažinant administracinę naštą                  </t>
  </si>
  <si>
    <t> 460</t>
  </si>
  <si>
    <t> 250</t>
  </si>
  <si>
    <t> 110</t>
  </si>
  <si>
    <t> 170</t>
  </si>
  <si>
    <t>Suteiktų duomenų skaičius (vnt.)</t>
  </si>
  <si>
    <t xml:space="preserve"> 01 Civilinės būklės aktų registravimas</t>
  </si>
  <si>
    <t xml:space="preserve"> 04 Duomenų teikimas Valstybės suteiktos pagalbos registrui</t>
  </si>
  <si>
    <t xml:space="preserve"> 05 Valstybinės kalbos vartojimo ir taisyklingumo kontrolės vykdymas</t>
  </si>
  <si>
    <t xml:space="preserve"> 07 Gyventojų registro tvarkymas</t>
  </si>
  <si>
    <t xml:space="preserve"> 08 Socialinės paramos mokiniams administravimas</t>
  </si>
  <si>
    <t xml:space="preserve"> 10 Žemės ūkio funkcijų vykdymas</t>
  </si>
  <si>
    <t xml:space="preserve"> 12 Vaiko teisių apsauga</t>
  </si>
  <si>
    <t xml:space="preserve"> 13 Jaunimo teisių apsauga</t>
  </si>
  <si>
    <t xml:space="preserve"> 06 Archyvinių dokumentų tvarkymas</t>
  </si>
  <si>
    <t xml:space="preserve"> 9 Civilinės saugos organizavimas </t>
  </si>
  <si>
    <t xml:space="preserve"> 11 Pirminės teisinės pagalbos teikimas</t>
  </si>
  <si>
    <t>Grąžintų į šeimas vaikų skaičius (vnt.)</t>
  </si>
  <si>
    <t>Asmenų, kurių neveiksnumas peržiūrėtas, skaičius (vnt.)</t>
  </si>
  <si>
    <t>Globojamų asmenų skaičius (vnt.)</t>
  </si>
  <si>
    <t xml:space="preserve"> 02 Valstybinės žemės ir kito valstybinio turto valdymas, naudojimas ir disponavimas juo patikėjimo teise</t>
  </si>
  <si>
    <t xml:space="preserve"> 14 Gyventojų gyvenamosios vietos deklaravimas</t>
  </si>
  <si>
    <t xml:space="preserve"> 15 Mobilizacijos administravimas</t>
  </si>
  <si>
    <t xml:space="preserve"> 16 Neveiksnių asmenų būklės peržiūrėjimas</t>
  </si>
  <si>
    <t xml:space="preserve"> 17 Socialinė globa asmenims su sunkia negalia      </t>
  </si>
  <si>
    <t xml:space="preserve"> 03 Socialinių išmokų ir kompensacijų skaičiavimas</t>
  </si>
  <si>
    <t>Mokinių skaičius gaunančių socialinę paramą (vnt.)</t>
  </si>
  <si>
    <t xml:space="preserve"> 03 Vykdant savarankiškąsias savivaldybės funkcijas teikti informaciją bendruomenės nariams, palaikyti ir stiprinti Jonavos rajono įvaizdį</t>
  </si>
  <si>
    <t xml:space="preserve"> 01 Užtikrinti savivaldybės veiklos viešumą</t>
  </si>
  <si>
    <t xml:space="preserve"> 01 Reprezentuoti Jonavą užsienio valstybių asmenų, delegacijų, svečių ir juos lydinčių asmenų priėmimui ir komandiruotėms, darbo susitikimams, atminimo dovanoms, dalyvavimui labdaros, kultūros, sporto ir kituose visuomeniniuose renginiuose</t>
  </si>
  <si>
    <t xml:space="preserve">Sudarytų sutarčių skaičius su rajonine spauda (vnt.)  </t>
  </si>
  <si>
    <t xml:space="preserve">Sudarytų sutarčių skaičius su respublikine spauda (vnt.)  </t>
  </si>
  <si>
    <t xml:space="preserve">Sudarytų sutarčių skaičius su informaciniais portalais (vnt.)  </t>
  </si>
  <si>
    <t xml:space="preserve">Sudarytų sutarčių skaičius su rajono televizija(vnt.)  </t>
  </si>
  <si>
    <t xml:space="preserve"> 02 Plėtojant dalykinius santykius ir ryšius su tarptautinėmis ir vietinėmis institucijomis bei organizacijomis, stiprinti rajono įvaizdį</t>
  </si>
  <si>
    <t>Programų, kuriose dalyvauja Savivaldybė, skaičius (vnt.)</t>
  </si>
  <si>
    <t xml:space="preserve"> 03 Užtikrinti finansavimą nenumatytoms išlaidoms dengti</t>
  </si>
  <si>
    <t>Jonavos rajono gyventojų skaičius (vnt.)</t>
  </si>
  <si>
    <t>01 Dalyvauti Lietuvos savivaldybių asociacijos veikloje</t>
  </si>
  <si>
    <t>02 Dalyvauti Kauno regiono plėtros agentūros veikloje</t>
  </si>
  <si>
    <t>03 Teikti informaciją respublikinei, rajono spaudai bei televizijai ir savivaldybės reprezentaciniam filmui apie Jonavos rajoną</t>
  </si>
  <si>
    <t>02 Rengti fotoparodas savivaldybės administracijos pastato II a.</t>
  </si>
  <si>
    <t xml:space="preserve"> 01 Seniūnaičių veiklos išlaidų dengimas</t>
  </si>
  <si>
    <t xml:space="preserve"> 02 Statybos leidimų gavimas</t>
  </si>
  <si>
    <t xml:space="preserve"> 03 Teisinių paslaugų įsigijimas</t>
  </si>
  <si>
    <t>Įsipareigojimų vykdymas (proc.)</t>
  </si>
  <si>
    <t xml:space="preserve"> 01 Tarptautinio bendradarbiavimo projektų su kitomis valstybėmis dalinis finansavimas</t>
  </si>
  <si>
    <t>Įgyvendinamų tarptautino bendradarboavimo projektų su kitomis valstybėmis skaičius (vnt.)</t>
  </si>
  <si>
    <t>Parengtų galimybių studijų skaičius (vnt.)</t>
  </si>
  <si>
    <t>Parengtų investicinių projektų skaičius (vnt.)</t>
  </si>
  <si>
    <t>05 Valdyti prisiimtus finansinius įsipareigojimus</t>
  </si>
  <si>
    <t>01 Užtikrinti finansinių įsipareigojimų vykdymą</t>
  </si>
  <si>
    <t>07 Kurti palankią aplinką rajono nevyriausybinėms organizacijoms (įskaitant ir vietos bendruomenines organizacijas), užtikrinant tinkamas jų veiklos ir plėtros sąlygas</t>
  </si>
  <si>
    <t>01 Sudaryti sąlygas ilgalaikei rajono nevyriausybinių organizacijų (įskaitant ir vietos bendruomenines organizacijas) plėtrai</t>
  </si>
  <si>
    <t xml:space="preserve">02 Galimybių studijų, investicinių projektų ir kitų dokumentų rengimas </t>
  </si>
  <si>
    <t>02 Vietos bendruomenių savivaldos 2017-2019 m. programos priemonių įgyvendinimas</t>
  </si>
  <si>
    <t>Įgyvendinamų projektų skaičius Jonavos mieste (vnt.)</t>
  </si>
  <si>
    <t>Įgyvendinamų projektų skaičius Jonavos rajone (vnt.)</t>
  </si>
  <si>
    <t>01 Bendruomenių projektų dalinis finansavimas</t>
  </si>
  <si>
    <t xml:space="preserve"> 04 Plėtoti mėgėjų teatro veiklą</t>
  </si>
  <si>
    <t>Viešosios bibliotekos suorganizuotų renginių, parodų skaičius (vnt.)</t>
  </si>
  <si>
    <t>Viešosios bibliotekos įsigytų naujų dokumentų: knygų, serialinių, periodinių  leidinių ir kt. skaičius (egz.)</t>
  </si>
  <si>
    <t>Leidžiamo leidinio Taurosta tiražas (2 k./m.), vnt.</t>
  </si>
  <si>
    <t>Muziejaus lankytojų ir dalyvių skaičius (tūkst.)</t>
  </si>
  <si>
    <t>Suorganizuotų edukacinių pamokų muziejuje ir jo skyriuose skaičius (val.)</t>
  </si>
  <si>
    <t>Suorganizuotų renginių muziejuje ir jo skyriuose skaičius (vnt.)</t>
  </si>
  <si>
    <t>Vaikų skaičius už kuriuos gaunamos išmokos (vnt.)</t>
  </si>
  <si>
    <t>Šeimų skaičius gaunančių globos (rūpybos) išmokas (vnt.)</t>
  </si>
  <si>
    <t>Šeimų skaičius gavusių socialinę pašalpą (vnt.)</t>
  </si>
  <si>
    <t>Šalpos išmokų ir tikslinių kompensacijų vidutinis gavėjų skaičius (vnt.)</t>
  </si>
  <si>
    <t>Mokinių nemokamai gaunančių mokymosi priemones, skaičius (vnt.)</t>
  </si>
  <si>
    <t xml:space="preserve"> 01 Mokėti vienkartines pašalpas</t>
  </si>
  <si>
    <t>Vienkartines pašaltas gaunančių asmenų skaičius (vnt.)</t>
  </si>
  <si>
    <t xml:space="preserve"> 02 Socialinės slaugos lovų išlaikymas</t>
  </si>
  <si>
    <t>Asmenų skaičius, kuriems buvo suteikta paslauga (vnt.)</t>
  </si>
  <si>
    <t xml:space="preserve"> 05 Skirti mokiniams aprūpinimą mokinio reikmenimis</t>
  </si>
  <si>
    <t xml:space="preserve"> 08 Mokėti išmokas neįgaliesiems</t>
  </si>
  <si>
    <t xml:space="preserve"> 06 Parama mirties atveju</t>
  </si>
  <si>
    <t>Asmenų skaičius, už kuriuos skirta parama (vnt.)</t>
  </si>
  <si>
    <t>Dalyvavimų projektinėje veikloje skaičius  (vnt.)</t>
  </si>
  <si>
    <t>Dalyvavimų kitų rengtuose renginiuose skaičius (vnt.)</t>
  </si>
  <si>
    <t>Įstaigoje surengtų renginių skaičius (vnt.)</t>
  </si>
  <si>
    <t xml:space="preserve">Bendras socialinių paslaugų gavėjų skaičius (vnt.) </t>
  </si>
  <si>
    <t xml:space="preserve">Socialinės priežiūros paslaugos asmens namuose (gavėjų skaičius vnt.) </t>
  </si>
  <si>
    <t>Nestacionarių socialinių paslaugų dienos užimtumo grupių lankytojų skaičius (vnt.)</t>
  </si>
  <si>
    <t>Vykdomų  funkcijų skaičius (vnt.)</t>
  </si>
  <si>
    <t xml:space="preserve"> 04 Europos pagalbos labiausiai skurstantiems asmenims fondo paramos maisto produktais programa </t>
  </si>
  <si>
    <t>Nemokamą paramą maisto produktais gaunančių žmonių skaičius (vnt.)</t>
  </si>
  <si>
    <t>Vienkartinių pašalpų gavėjų skaičius (vnt.)</t>
  </si>
  <si>
    <t>Pritaikytų būstų skaičius neįgaliesiems (vnt.)</t>
  </si>
  <si>
    <t>Išlaikomų senyvo amžiaus, asmenų su negalia (vnt.)</t>
  </si>
  <si>
    <t>Išlaikomų senyvo amžiaus, asmenų su sunkia negalia skaičius (vnt.)</t>
  </si>
  <si>
    <t xml:space="preserve"> 01 Kompensuoti gyventojams, turintiems mažas pajamas, būsto šildymo išlaidas, išlaidas šaltam vandeniui bei nuotėkoms ir išlaidas karštam vandeniui ir kt.</t>
  </si>
  <si>
    <t>Šeimų ir asmenų gaunančių kompensacijas už šildymą, karštą vandenį skaičius (vnt.)</t>
  </si>
  <si>
    <t xml:space="preserve">07 Mokėti valstybinės šalpos išmokas </t>
  </si>
  <si>
    <t xml:space="preserve">06 Mokėti vienkartines išmokas nėščioms moterims </t>
  </si>
  <si>
    <t>05 Mokėti vienkartines išmokas būstui įsigyti arba įsikurti (našlaičiams)</t>
  </si>
  <si>
    <t>03 Mokėti išmokas privalomosios tarnybos karių vaikams</t>
  </si>
  <si>
    <t xml:space="preserve">02 Mokėti išmokas vaikams </t>
  </si>
  <si>
    <t xml:space="preserve">01 Mokėti vienkartinę išmoką gimus vaikui </t>
  </si>
  <si>
    <t xml:space="preserve">01 Teikti socialinę globą likusiems be tėvų vaikams Jonavos Vaikų globos namuose </t>
  </si>
  <si>
    <t>01 Socialinės apsaugos renginių programa</t>
  </si>
  <si>
    <t>02 Mokėti socialines pašalpas</t>
  </si>
  <si>
    <t xml:space="preserve">01 Kompensacijos už šildymą, šaltą vandenį bei nuotekas ir karštą vandenį </t>
  </si>
  <si>
    <t>03 Projekto "Socialinio būsto plėtra Jonavos rajono savivaldybėje" dalinis finansavimas</t>
  </si>
  <si>
    <t>02 Projekto "Kompleksinių paslaugų šeimai teikimas Jonavos rajono savivaldybėje" dalinis finansavimas</t>
  </si>
  <si>
    <t>03 Apmokėti senyvo amžiaus, asmenų su negalia, socialinės rizikos asmenų globos išlaikymą kito pavaldumo globos įstaigose</t>
  </si>
  <si>
    <t>04 Socialinė globa asmenims su sunkia negalia (kito pavaldumo globos įstaigose)</t>
  </si>
  <si>
    <t>05 Apmokėti vaikų, netekusių tėvų globos, išlaikymą kito pavaldumo globos įstaigose</t>
  </si>
  <si>
    <t>Socialines paslaugas gavę tikslinių grupių asmenų, skaičius (vnt.)</t>
  </si>
  <si>
    <t xml:space="preserve"> 02 Užtikrinti vienkartinę paramą socialiai remtiniems asmenims, mažinti skurdą</t>
  </si>
  <si>
    <t xml:space="preserve"> 03 Socialinės paslaugos mieste</t>
  </si>
  <si>
    <t xml:space="preserve"> 02 Socialinė globa asmenims su sunkia negalia</t>
  </si>
  <si>
    <t xml:space="preserve"> 01 Socialinė priežiūra soc. rizikos šeimoms</t>
  </si>
  <si>
    <t xml:space="preserve"> 06 Užtikrinti socialines paslaugas, gyvenantiems namuose neįgaliesiems</t>
  </si>
  <si>
    <t xml:space="preserve"> 01 Skatinti visuomenės aktyvumą sveikatinimo veikloje</t>
  </si>
  <si>
    <t xml:space="preserve"> 01 Stiprinti visuomenės sveikatos priežiūrą, ugdyti sveiką visuomenę</t>
  </si>
  <si>
    <t xml:space="preserve"> 01 Vykdyti visuomenės sveikatos rėmimo specialiąją programą </t>
  </si>
  <si>
    <t xml:space="preserve"> 01 Užtikrinti Visuomenės sveikatos biuro veiklą, vykdant visuomenės sveikatos priežiūros funkcijas</t>
  </si>
  <si>
    <t>03 Projekto "Pagerinti VšĮ Jonavos PSPC teikiamų vaikų ligų, vyresnio amžiaus ligų ir sveiko senėjimo srityse Jonavos rajono savivaldybės gyventojų ligų profilaktikos, prevencijos ir ankstyvosios diagnostikos paslaugų kokybę ir prieinamumą" dalinis finansavimas</t>
  </si>
  <si>
    <t>05 Projekto "Visuomenės sveikatos stiprinimas Jonavos rajone" dalinis finansavimas</t>
  </si>
  <si>
    <t>04 Projekto "Ambulatorinių sveikatos priežiūros paslaugų prieinamumo gerinimas Jonavos rajone tuberkulioze sergantiems asmenims" dalinis finansavimas</t>
  </si>
  <si>
    <t>Gyventojų skaičius, turintys galimybę pasinaudoti pagerintomis sveikatos priežiūros paslaugomis,  skaičius (vnt.)</t>
  </si>
  <si>
    <t>Projekto įgyvendnimas (proc.)</t>
  </si>
  <si>
    <t>Projekto įgyvendinimas (proc.)</t>
  </si>
  <si>
    <t>Tuberkulioze sergančių pacientų skaičius, kuriems buvo suteiktos socialinės paramos priemonės (maisto talonų dalijimas ir kelionės išlaidų kompensavimas) tuberkuliozės ambulatorinio gydymo metu (vnt.)</t>
  </si>
  <si>
    <t xml:space="preserve">Tikslinių grupių asmenų skaičius, kurie dalyvavo informavimo, švietimo ir mokymo renginiuose bei sveikatos raštingumą dindinčiose veiklose (vnt.) </t>
  </si>
  <si>
    <t>01 Vykdyti Jonavos rajono savivaldybės teritorijos planavimo ir projektavimo darbus</t>
  </si>
  <si>
    <t>Parengtas Jonavos miesto bendrojo plano monitoringas (vnt.)</t>
  </si>
  <si>
    <t>Parengta Jonavos rajonosavivaldybės teritorijos bendrojo plano keitimo darbų programa (vnt.)</t>
  </si>
  <si>
    <t>Parengtų specialiųjų planų skaičius (vnt.)</t>
  </si>
  <si>
    <t>Parengtų detaliųjų planų skaičius (vnt.)</t>
  </si>
  <si>
    <t>Parengtų ekspertizių skaičius (vnt.)</t>
  </si>
  <si>
    <t xml:space="preserve"> 02 Užtikrinti asmens sveikatos priežiūros paslaugų teikimą ir jų kokybę</t>
  </si>
  <si>
    <t xml:space="preserve"> 01 Gerinti sveikatos priežiūros paslaugų kokybę, pasiekiamumą, materialinę bazę, tobulinti darbuotojų kvalifikaciją</t>
  </si>
  <si>
    <t>Parengtų techninių projektų skaičius (vnt.)</t>
  </si>
  <si>
    <t>Nuostolingų maršrutų skaičius (vnt.)</t>
  </si>
  <si>
    <t>Esamų akcijų skaičius (vnt.)</t>
  </si>
  <si>
    <t>Įsigytų akcijų skaičius (vnt.)</t>
  </si>
  <si>
    <t>Įsigytų blankų skaičius (vnt.)</t>
  </si>
  <si>
    <t>Atliktų patikrinimų skaičius (vnt.)</t>
  </si>
  <si>
    <t>Suteiktos paslaugos verslui (val.)</t>
  </si>
  <si>
    <t>Įsteigtų naujų darbo vietų skaičius (vnt.)</t>
  </si>
  <si>
    <t xml:space="preserve"> 04 Gerinti investicinę aplinką, didinti savivaldybės patrauklumą verslui</t>
  </si>
  <si>
    <t>Suteiktų apdovanojimų skaičius (vnt.)</t>
  </si>
  <si>
    <t>02 Teikti nemokamas konsultacijas smulkioms ir vidutinėms įmonėms, verslininkams ir pradedantiesiems verslininkams</t>
  </si>
  <si>
    <t xml:space="preserve"> 05 Plėtoti turizmo ir rekreacijos infrastruktūrą</t>
  </si>
  <si>
    <t>02 Akmeninės stelos Panerių g. memoriale sukūrimas ir pastatymas</t>
  </si>
  <si>
    <t>03 Ramybės skvero  atnaujinimas</t>
  </si>
  <si>
    <t>04 Skvero prie Žaliosios g. 4,6 namų, Jonavoje, projekto parengimas ir jo sutvarkymo darbai</t>
  </si>
  <si>
    <t>Sukurta akmeninė stela (vnt.)</t>
  </si>
  <si>
    <t>Atnaujintas parkas (vnt.)</t>
  </si>
  <si>
    <t>03 Leidimų vežti keleivius taksi automobiliais blankų įsigijimas</t>
  </si>
  <si>
    <t>03 UAB "Jonavos vandenys" įstatinio kapitalo didinimas</t>
  </si>
  <si>
    <t>02 UAB "Jonavos autobusai"  keleivių vežimo nuostolių dengimas (subsidijos)</t>
  </si>
  <si>
    <t xml:space="preserve">01 UAB "Jonavos autobusai" keleivinio kelių transporto kontrolės paslauga </t>
  </si>
  <si>
    <t>01 Bendrųjų, specialiųjų, detaliųjų planų rengimas</t>
  </si>
  <si>
    <t>02 Techninių projektų ir ekspertizių rengimas</t>
  </si>
  <si>
    <t>01 Beprocentinių paskolų išdavimas ir negrąžintinos finansinės paramos teikimas smulkiom ir vidutinėm įmonėm bei ūkininkams</t>
  </si>
  <si>
    <t>01 Įgyvendinti konkursą "Sukurta Jonavoje"</t>
  </si>
  <si>
    <t xml:space="preserve"> 01 Parengti Jonavos rajono savivaldybei reikalingus teritorijų planavimo dokumentus</t>
  </si>
  <si>
    <t xml:space="preserve"> 01 Projekto "Jonavos, Kėdainių ir Raseinių rajonų savivaldybes jungiančių trasų ir turizmo maršrutų informacinės infrastruktūros plėtra" dalinis finansavimas</t>
  </si>
  <si>
    <t xml:space="preserve"> 01 Ugdyti žemdirbių profesinį meistriškumą</t>
  </si>
  <si>
    <t xml:space="preserve"> 02 Skatinti ūkininkus tobulinti ir plėsti savo ūkinę veiklą</t>
  </si>
  <si>
    <t>Suremontuotos avarinės būklės drenažo sistemos plotas (ha)</t>
  </si>
  <si>
    <t>Suremontuotų avarinės būklės pralaidų skaičius (vnt.)</t>
  </si>
  <si>
    <t>Suremontuotų užtvankų skaičius (vnt.)</t>
  </si>
  <si>
    <t>Prižiūrėtų užtvankų skaičius (vnt.)</t>
  </si>
  <si>
    <t xml:space="preserve"> 01 Įgyvendinti projektus skatinančius bendruomeniškumą kaime </t>
  </si>
  <si>
    <t>Atlikti pastato išorės ir vidaus sutvarkymo darbai, įsigyta įranga ir baldai</t>
  </si>
  <si>
    <t>Sutvarkytų viešosųjų erdvių Ruklos miestelyje plotas (m2)</t>
  </si>
  <si>
    <t>Atlikti Ruklos KC pastato išorės ir vidaus sutvarkymo darbai, įsigyta įranga ir baldai</t>
  </si>
  <si>
    <t>01 Darbo rinkos politikos rengimas ir įgyvendinimas</t>
  </si>
  <si>
    <t>Įdarbintų asmenų skaičius (vnt.)</t>
  </si>
  <si>
    <t>Sveikatos ugdymo ir mokymo renginių (paskaitose, pamokose, diskusijose, debatuose, konkursuose, viktorinose, varžybose ir kituose viešuose renginiuose) dalyvių skaičius (vnt.)</t>
  </si>
  <si>
    <t>Straipsniai, informaciniai pranešimai, publikacijos periodiniuose leidiniuose, internete, leidiniai (stendai, plakatai, TV ir radijo laidos, video- ir audiosiužetai (vnt.)</t>
  </si>
  <si>
    <t>Savivaldybės stebėtų visuomenės sveikatos stebėsenos rodiklių skaičius (vnt.)</t>
  </si>
  <si>
    <t>01 Būsto nuomos dalies kompensacijos</t>
  </si>
  <si>
    <t>Asmenys, gaunantys būsto nuomos dalinę kompensaciją (vnt.)</t>
  </si>
  <si>
    <t>02 Savivaldybės tuščių butų išlaikymas, iškeldinimo išlaidos, išlaidos už suteiktas komunalinius mokesčius</t>
  </si>
  <si>
    <t>Savivadybės tuščių butų skaičius (vnt.)</t>
  </si>
  <si>
    <t>Iškeldintų žmonių skaičius (vnt.)</t>
  </si>
  <si>
    <t>Nuotekų tinklų plėtros Jonavos r. ( Šilų k.) ilgis (km)</t>
  </si>
  <si>
    <t>Vandentiekio/nuotekų, paviršinių nuotekų tinklų plėtra Jonavos rajono savivaldybės teritorijoje (km)</t>
  </si>
  <si>
    <t>Nelegalių sąvartynų/šiukšlynų sutvarkymo kiekis (m3)</t>
  </si>
  <si>
    <t>Pastatytų vandens gerinimo įrenginių skaičius (vnt.)</t>
  </si>
  <si>
    <t>Įrengtų/modernizuotų antžeminių atliekų surinkimo aikštelių Jonavos rajono sodų bendrijose, skaičius (vnt.)</t>
  </si>
  <si>
    <t>Atliekų surinkimo priemonių įsigijimas, (vnt.)</t>
  </si>
  <si>
    <t xml:space="preserve"> 02 Organizuoti kultūros paveldo sklaidos renginius</t>
  </si>
  <si>
    <t xml:space="preserve"> 01 Gerinti aplinkos kokybę ir apsaugą </t>
  </si>
  <si>
    <t xml:space="preserve"> 07 Projekto 'Kraštovaizdžio formavimas ir ekologinės būklės gerinimas Taurostos parke Jonavoje" dalinis finansavimas</t>
  </si>
  <si>
    <t>05 Trečiojo amžiaus universiteto veiklos rėmimas</t>
  </si>
  <si>
    <t>02  Koordinuotų paslaugų teikimas vaikui ir šeimoms</t>
  </si>
  <si>
    <t>01 Vaikų vasaros poilsio, socializacijos ir kt. programos, projektai</t>
  </si>
  <si>
    <t>04 Olimpiados, renginiai, metodinės išvykos</t>
  </si>
  <si>
    <t>Teritorijų, kuriose įgyvendintos kraštovaizdžio formavimo priemonės plotas (ha)</t>
  </si>
  <si>
    <t>Ekspoatuojamų kamerų skaičius (vnt.)</t>
  </si>
  <si>
    <t>Įsigytų naujų stebėjimo kamerų skaičius (vnt.)</t>
  </si>
  <si>
    <t>06 Jaunimo projektų finansavimas</t>
  </si>
  <si>
    <t>07 Brandos egzaminų sesijos, pagrindinio ugdymo pasiekimų patikrinimų, diagnostinio ir standartizuoto testavimo organizavimas</t>
  </si>
  <si>
    <t>08 MK pedagoginių darbuotojų tarifinių atlygių koeficientų skirtumams išlyginti mokyklose</t>
  </si>
  <si>
    <t>09 Studijų rėmimo fondas</t>
  </si>
  <si>
    <t>04 Išmaniųjų apyrankių vaikų maitinimui įsigyti</t>
  </si>
  <si>
    <t>Įsigytų išmaniųjų apyrankių skaičius (vnt.)</t>
  </si>
  <si>
    <t>Batėgalos UDC</t>
  </si>
  <si>
    <t>13 Projekto "Dviračių takų tinklo Jonavos mieste plėtra" dalinis finansavimas</t>
  </si>
  <si>
    <t>Įrengtų naujų dviračių ir/ar pėsčiųjų takų ir/arba trasų ilgis (km.)</t>
  </si>
  <si>
    <t>Rekonstruotų dviračių ir/ar pėsčiųjų takų ir/ar trasų ilgis (km.)</t>
  </si>
  <si>
    <t>12 Projekto "Darnaus judumo priemonių diegimas" dalinis finansavimas</t>
  </si>
  <si>
    <t>Įgyvendintų darnaus judumo priemonių skaičius (vnt.)</t>
  </si>
  <si>
    <t xml:space="preserve"> 02 Kelių ir gatvių priežiūra </t>
  </si>
  <si>
    <t>Įrengtų elektromobilių įkrovimo stotelių skaičius (vnt.)</t>
  </si>
  <si>
    <t xml:space="preserve">Įrengtas pėsčiųjų tiltas </t>
  </si>
  <si>
    <t xml:space="preserve">04 Pėsčiųjų tilto per Žeimių g. nuo sporto arenos projektavimo ir įrengimo dalinis finansavimas   </t>
  </si>
  <si>
    <t>02 Gerbūvio tvarkymo darbai seniūnijose</t>
  </si>
  <si>
    <t>01 Seniūnijų viešojo ūkio tvarkymas</t>
  </si>
  <si>
    <t>14 Prezidento g., Jonavoje,  remonto dalinis finansavimas</t>
  </si>
  <si>
    <t xml:space="preserve">15 Projekto "Jonavos miesto gatvių apšvietimo sistemos modernizavimas" įgyvendinimas </t>
  </si>
  <si>
    <t>Atnaujintos gatvės ilgis (m.)</t>
  </si>
  <si>
    <t xml:space="preserve"> 01 Atnaujinti, prižiūrėti savivaldybės švietimo pastatus</t>
  </si>
  <si>
    <t>03  Atnaujinti, prižiūrėti savivaldybės sporto pastatus</t>
  </si>
  <si>
    <t>02 Atnaujinti, prižiūrėti savivaldybės kultūros pastatus</t>
  </si>
  <si>
    <t xml:space="preserve"> 04 Atnaujinti savivaldybės socialines paslaugas teikiančias įstaigų pastatus</t>
  </si>
  <si>
    <t xml:space="preserve"> 05 Atnaujinti savivaldybės sveikatos priežiūros įstaigų pastatus</t>
  </si>
  <si>
    <t xml:space="preserve"> 06 Atnaujinti, prižiūrėti kitus savivaldybės pastatus</t>
  </si>
  <si>
    <t xml:space="preserve"> 07 Savivaldybės pastatų bendroji priežiūra</t>
  </si>
  <si>
    <t>Atnaujintų ikimokyklinio ir/ar priešmokyklinio ugdymo grupių skaičius (vnt.)</t>
  </si>
  <si>
    <t>Sukurtų naujų ikimokyklinio ir priešmokyklinio ugdymo vietų skaičius (vnt.)</t>
  </si>
  <si>
    <t>Modernizuotas pastatas</t>
  </si>
  <si>
    <t>Modernizuotas  pastatas</t>
  </si>
  <si>
    <t>Įsigytų viryklių skaičius (vnt.)</t>
  </si>
  <si>
    <t>Įrengto aikštyno dangos plotas (m2)</t>
  </si>
  <si>
    <t>Atnaujintų grupių skaičius (vnt.)</t>
  </si>
  <si>
    <t>Rekonstruotos mašinų stovėjimo aikštelės ir įvažiavimo plotas (m2)</t>
  </si>
  <si>
    <t>Įrengtas vaikų sporto aikštynas (vnt.)</t>
  </si>
  <si>
    <t>Suremontuotų pėsčiųjų takų plotas (m2)</t>
  </si>
  <si>
    <t>Sutvarkytų kiemo takelių ir aikštelės dangos plotas (m2)</t>
  </si>
  <si>
    <t xml:space="preserve">07 Jonavos mokyklos - darželio "Bitutė" išorės ir vidaus patalpų atnaujinimas </t>
  </si>
  <si>
    <t xml:space="preserve">06 Jonavos Šveicarijos vaikų lopšelio - darželio "Voveraitė" kiemo atnaujinimas </t>
  </si>
  <si>
    <t xml:space="preserve">05 Jonavos vaikų lopšelio - darželio "Pakalnutė" vidaus patalpų atnaujinimas </t>
  </si>
  <si>
    <t xml:space="preserve">04 Jonavos vaikų lopšelio - darželio "Lakštingalėlė" vidaus patalpų atnaujinimas </t>
  </si>
  <si>
    <t xml:space="preserve">03 Jonavos vaikų lopšelio - darželio "Saulutė" išorės ir vidaus patalpų atnaujinimas </t>
  </si>
  <si>
    <t xml:space="preserve">02 Jonavos vaikų lopšelio - darželio "Žilvitis" išorės ir vidaus patalpų atnaujinimas </t>
  </si>
  <si>
    <t xml:space="preserve">01 Jonavos vaikų lopšelio - darželio "Dobilas" išorės ir vidaus patalpų atnaujinimas </t>
  </si>
  <si>
    <t xml:space="preserve">08 Jonavos Justino Vareikio progimnazijos išorės ir vidaus patalpų atnaujinimas </t>
  </si>
  <si>
    <t>Suremontuoto II a. fojė plotas (m2)</t>
  </si>
  <si>
    <t>Modernizuotas pastato stogas</t>
  </si>
  <si>
    <t>Atnaujintų klasių ir kabinetų skaičius (vnt.)</t>
  </si>
  <si>
    <t xml:space="preserve">Atnaujintos aikštės ir šaligatvių plotas (m2) </t>
  </si>
  <si>
    <t xml:space="preserve">09 Jonavos Raimundo Samulevičiaus progimnazijos išorės ir vidaus patalpų atnaujinimas </t>
  </si>
  <si>
    <t xml:space="preserve">10 Jonavos  "Neries" pagrindinės mokyklos išorės ir vidaus patalpų atnaujinimas </t>
  </si>
  <si>
    <t>Patalpų pritaikymas asmenų su spec. poreikiais  ugdymui</t>
  </si>
  <si>
    <t xml:space="preserve">Įsigytas traktorius šienavimui  </t>
  </si>
  <si>
    <t>Šildymo valdymo informacinės sistemos įdiegimas</t>
  </si>
  <si>
    <t>Atnaujintų grindų plotas (m2)</t>
  </si>
  <si>
    <t>Įrengtų stebėjimo kamerų skaičius (vnt.)</t>
  </si>
  <si>
    <t>11 Jonavos "Lietavos" pagrindinės mokyklos atnaujinimas</t>
  </si>
  <si>
    <t xml:space="preserve">12 Jonavos r. Šveicarijos pagrindinė mokykla vidaus patalpų atnaujinimas </t>
  </si>
  <si>
    <t xml:space="preserve">13 Jonavos r. Užusalių pagrindinės mokyklos išorės ir vidaus patalpų atnaujinimas </t>
  </si>
  <si>
    <t xml:space="preserve">14 Jonavos r. Bukonių mokyklos - daugiafunkcio centro išorės atnaujinimas </t>
  </si>
  <si>
    <t>Aptvertos mokyklos teritorijos tvoros ilgis (m)</t>
  </si>
  <si>
    <t xml:space="preserve">15 Jonavos r. Žeimių mokyklos - daugiafunkcio centro vidaus patalpų atnaujinimas </t>
  </si>
  <si>
    <t>Atnaujintų vidaus patalpų plotas (m2)</t>
  </si>
  <si>
    <t xml:space="preserve">17 Jonavos r. Kulvos Abraomo Kulviečio mokykla vidaus patalpų atnaujinimas </t>
  </si>
  <si>
    <t xml:space="preserve">18 Jonavos r. Barupės mokyklos   atnaujinimas </t>
  </si>
  <si>
    <t>Laboratorijos įrengimas</t>
  </si>
  <si>
    <t>Kompiuterinio tinklo renovacija</t>
  </si>
  <si>
    <t>Atnaujintų laiptinių dangų plotas (m2)</t>
  </si>
  <si>
    <t>Suremontuotų klasių grindų plotas (m2)</t>
  </si>
  <si>
    <t xml:space="preserve">16 Jonavos r. Ruklos Jono Stanislausko mokyklos - daugiafunkcio centro vidaus patalpų atnaujinimas </t>
  </si>
  <si>
    <t xml:space="preserve">19 Jonavos pradinės mokyklos   atnaujinimas </t>
  </si>
  <si>
    <t xml:space="preserve">20 Jonavos Panerio pradinės mokyklos atnaujinimas </t>
  </si>
  <si>
    <t xml:space="preserve">21 Jonavos Senamiesčio gimnazijos   išorės ir vidaus patalpų atnaujinimas </t>
  </si>
  <si>
    <t>Įrengtos kapinių tvoros ilgis ilgis (m)</t>
  </si>
  <si>
    <t>Įrengtų poilsio suoliukų su šiukšledėžėmis skaičius (vnt.)</t>
  </si>
  <si>
    <t>Įrengtų žaidimų, laisvalaikio ir sporto zonų skaičius (vnt.)</t>
  </si>
  <si>
    <t>Gyvūnų kapinių įrengimas</t>
  </si>
  <si>
    <t>Patalpų įrengimas benamių, bešeimininkių gyvūnų laikinai globai</t>
  </si>
  <si>
    <t>Pėsčiųjų ir dviračių takų apšvietimo įrengimas</t>
  </si>
  <si>
    <t>Įrengtų, dengtų autobusų stotelių skaičius (vnt.)</t>
  </si>
  <si>
    <t>Miesto seniūnija</t>
  </si>
  <si>
    <t>01 Projekto "Neformaliojo švietimo infrastruktūros tobulinimas" dalinis finansavimas</t>
  </si>
  <si>
    <t>Atnaujintos KKSC vidaus patalpos</t>
  </si>
  <si>
    <t>02 Miesto stadiono žiūrovų tribūnų ir bėgimo takų įrengimas</t>
  </si>
  <si>
    <t>Rekonstruotų esamų tribūnų, skaičius</t>
  </si>
  <si>
    <t xml:space="preserve"> 02 Daugiabučių gyvenamųjų namų rėmimo fondas</t>
  </si>
  <si>
    <t xml:space="preserve"> 03 Renovuotų ES paramos lėšomis daugiabučių namų bankrutavusių įmonių  defektų taisymas</t>
  </si>
  <si>
    <t>Daugiabučių namų skaičius, kuriems atlikti defektų taisymai (vnt.)</t>
  </si>
  <si>
    <t>Atnaujintos vidaus patalpos</t>
  </si>
  <si>
    <t xml:space="preserve">22 Jonavos Suaugusiųjų švietimo centro vidaus patalpų atnaujinimas </t>
  </si>
  <si>
    <t>Surenovuotos aktų salės plotas (m2)</t>
  </si>
  <si>
    <t xml:space="preserve">23 Jonavos Jeronimo Ralio gimnazijos     išorės ir vidaus patalpų atnaujinimas </t>
  </si>
  <si>
    <t xml:space="preserve">24 Projekto "Jonavos mokyklos - darželio "Bitutė" atnaujinimas" dalinis finansavimas   </t>
  </si>
  <si>
    <t>25 Projekto "Jonavos Jeronimo Ralio gimnazijos atnaujinimas" dalinis finansavimas</t>
  </si>
  <si>
    <t>03 Teritorijos tarp Sporto arenos ir stadiono sutvarkymas</t>
  </si>
  <si>
    <t>Sutvarkyta teritorija</t>
  </si>
  <si>
    <t>Sporto arenos elektros tinklų projektavimo darbai</t>
  </si>
  <si>
    <t>Įsigyta automobilinė priekaba</t>
  </si>
  <si>
    <t>01 Projekto "Jonavos miesto  kultūros centro didžiosios salės atnaujinimas" dalinis finansavimas</t>
  </si>
  <si>
    <t>04 Jonavos kūno kultūros ir sporto centro veiklos gerinimas</t>
  </si>
  <si>
    <t>02 Jonavos kultūros centro veiklos gerinimas</t>
  </si>
  <si>
    <t>Įsigyta lauko scena</t>
  </si>
  <si>
    <t>Atliktas Šveicarijos kultūros centro patalpų remontas</t>
  </si>
  <si>
    <t>Įsigytų baldų (minkštasuoliai, kėdės ir stalai) skaičius (vnt.)</t>
  </si>
  <si>
    <t>03 Jonavos pašto stoties ratinės komplekso remonto darbai</t>
  </si>
  <si>
    <t>04 Jonavos r. savivaldybės viešosios bibliotekos veiklos gerinimas</t>
  </si>
  <si>
    <t>Nupirktų baldų komplektų skaičius bibliotekos patalpoms ir kabinetams atnaujinti</t>
  </si>
  <si>
    <t xml:space="preserve"> 01 Projekto "Jonavos globos namų atnaujinimas" dalinis finansavimas</t>
  </si>
  <si>
    <t>Įrengta kiemo pavėsinė</t>
  </si>
  <si>
    <t>02 Bendruomeninių globos namų įrengimas</t>
  </si>
  <si>
    <t>Įrengti bendruomeniniai globos namai</t>
  </si>
  <si>
    <t xml:space="preserve"> 01 VšĮ Jonavos ligoninės patalpų remontas</t>
  </si>
  <si>
    <t>03 Jonavos neįgaliųjų veiklos centro veiklos gerinimas</t>
  </si>
  <si>
    <t>Pastato Mokyklos g. 2, Jonavoje, pirkimas ir nugriovimo darbai</t>
  </si>
  <si>
    <t>Kulvos seniūnijos administracinio pastato patalpų remontas</t>
  </si>
  <si>
    <t>Pastato Tarybų g., Kulvos k., atnaujinimo projektavimas ir statybos darbai</t>
  </si>
  <si>
    <t>Pastatų, kuriems atliktas remontas</t>
  </si>
  <si>
    <t>16 Virbalų ir Juodmenos kv. elektros linijų eksploatavimas</t>
  </si>
  <si>
    <t>17 Inžinerinių tinklų, priklausančių ESO, iškėlimo (rekonstrukcijos) paslaugos įgyvendinant projektus</t>
  </si>
  <si>
    <t>Inžinerinių tinklų, priklausančių ESO, iškėlimas</t>
  </si>
  <si>
    <t>26 Švietimo pagalbos tarnybos - ūkinio aptarnavimo grupės steigimas</t>
  </si>
  <si>
    <t>Įsteigta švietimo pagalbos tarnybos - ūkinio aptarnavimo grupė</t>
  </si>
  <si>
    <t xml:space="preserve">27 Šilumos efektą sukeliančių dujų ataskaitų ir auditų mokykloms parengimas </t>
  </si>
  <si>
    <t>Parengtų ataskaitų ir auditų skaičius (vnt.)</t>
  </si>
  <si>
    <t>Pastatų skaičius, kuriems atliktas remontas (vnt.)</t>
  </si>
  <si>
    <t>Kultivuojamų sporto šakų skaičius (vnt.)</t>
  </si>
  <si>
    <t>Sportu užsiiminėjančių moksleivių skaičius (vnt.)</t>
  </si>
  <si>
    <t>Įvykdytų sporto renginių skaičius (vnt.)</t>
  </si>
  <si>
    <t>Mėgėjų sportuojančiųjų skaičius (vnt.)</t>
  </si>
  <si>
    <t>Teikiamų sporto paslaugų skaičius (vnt.)</t>
  </si>
  <si>
    <t>Įvykdytų atskirų sporto šakų rajono pirmenybių skaičius (vnt.)</t>
  </si>
  <si>
    <t>Iš savivaldybės biudžeto remiamų  sporto klubų vykdomų programų skaičius rajone (vnt.)</t>
  </si>
  <si>
    <t>Vaikų ir jaunimo ugdymo programų skaičius (vnt.)</t>
  </si>
  <si>
    <t>Vykdytų seniūnijų sporto žaidynių varžybų skaičius (vnt.)</t>
  </si>
  <si>
    <t>Sporto organizatorių skaičius (vnt.)</t>
  </si>
  <si>
    <t>Asignavimai 2017 metams (planas)</t>
  </si>
  <si>
    <t>Asignavimai biudžetiniams 2018 metams</t>
  </si>
  <si>
    <t>Projektas 2020 metams</t>
  </si>
  <si>
    <t>2017/2018 m. palyginimas</t>
  </si>
  <si>
    <t>2018-ųjų metų asignavimų planas, tūkst. Eur</t>
  </si>
  <si>
    <t>2019-ųjų metų lėšų projektas, tūkst. Eur</t>
  </si>
  <si>
    <t>2020-ųjų metų lėšų projektas, tūkst. Eur</t>
  </si>
  <si>
    <t>2018-ųjų metų asignavimų planas, tūkst.Eur</t>
  </si>
  <si>
    <t>2019-ųjų metų lėšų projektas, tūkst.Eur</t>
  </si>
  <si>
    <t>2020-ųjų metų lėšų projektas, tūkst.Eur</t>
  </si>
  <si>
    <t xml:space="preserve"> 04 Savivaldybei priklausančių statinių remontas</t>
  </si>
  <si>
    <t>01 VšĮ Jonavos ligoninės patalpų remontas</t>
  </si>
  <si>
    <t>Atnaujintos patalpos (vnt.)</t>
  </si>
  <si>
    <t xml:space="preserve"> 06 Projekto "Pirminio rūšiavimo infrastruktūros plėtra Jonavos rajone ir atliekų rūšiavimo skatinimas" dalinis finansavimas</t>
  </si>
  <si>
    <t>01 Projekto "Bukonių kultūros centro pastato atnaujinimas" dalinis finansavimas</t>
  </si>
  <si>
    <t>02 Projekto "Užusalių pagrindinės mokyklos atnaujinimas ir pritaikymas bendruomenės poreikiams" dalinis finansavimas</t>
  </si>
  <si>
    <t>03 Projekto "Šveicarijos pagrindinės mokyklos pritaikymas bendruomenės poreikiams" dalinis finansavimas</t>
  </si>
  <si>
    <t>04 Projekto "Ruklos miestelio kompleksinis atnaujinimas" dalinis finansavimas</t>
  </si>
  <si>
    <t>05 Projekto "Pabėgėlių integracijos skatinimas" dalinis finansavimas</t>
  </si>
  <si>
    <t xml:space="preserve">03 Projekto "Projekto "Elektromobilių įkrovimo prieigų tinklo kūrimas" dalinis finansavimas </t>
  </si>
  <si>
    <t xml:space="preserve"> 08 Savivaldybės turto dokumentų tvarkymas</t>
  </si>
  <si>
    <t>"Sveikatos apsauga"                                      3.1. priedas</t>
  </si>
  <si>
    <t>"Žemės ūkio plėtra ir melioracija"                      5.1. priedas</t>
  </si>
  <si>
    <t>"Aplinkos, kraštovaizdžio ir viešoji apsauga"  6.1. priedas</t>
  </si>
  <si>
    <t>"Ekonominio konkurencingumo didinimas"        4.1. priedas</t>
  </si>
  <si>
    <r>
      <t>03 Jonavos ir Jonavos rajono vietos veiklos grupių</t>
    </r>
    <r>
      <rPr>
        <sz val="8"/>
        <color rgb="FFFF0000"/>
        <rFont val="Times New Roman"/>
        <family val="1"/>
        <charset val="186"/>
      </rPr>
      <t xml:space="preserve"> </t>
    </r>
    <r>
      <rPr>
        <sz val="8"/>
        <rFont val="Times New Roman"/>
        <family val="1"/>
        <charset val="186"/>
      </rPr>
      <t>plėtros strategijos 2014-2020 m. rengimo ir įgyvendinimo dalinis finansavimas</t>
    </r>
  </si>
  <si>
    <t>"Socialinės apsaugos plėtojimas"       2.1. priedas</t>
  </si>
  <si>
    <t xml:space="preserve">"Savivaldybės infrastruktūros objektų priežiūra, modernizavimas ir plėtra"                        </t>
  </si>
  <si>
    <t xml:space="preserve">7.1. priedas </t>
  </si>
  <si>
    <t>Vienkartinių bilietų su nuolaida (vnt.)</t>
  </si>
  <si>
    <t>Terminuoti bilietai su nuolaida (vnt.)</t>
  </si>
  <si>
    <t>Įsigyta traktorinė šienapjovė (vnt.)</t>
  </si>
  <si>
    <t>Įsigytos orgtechnikos priemonės (vnt.)</t>
  </si>
  <si>
    <t>Aptvertos kapinių teritorijos tvoros ilgis (m)</t>
  </si>
  <si>
    <t>Pakeistų gatvių šviestuvų skaičius (vnt.)</t>
  </si>
  <si>
    <t>Įrengtų gatvių apšvietimo stulpų skaičius (vnt.)</t>
  </si>
  <si>
    <t>Įrengta kelio asfaltbetonio danga (km)</t>
  </si>
  <si>
    <t>Dirbtuvių aptvėrimas tvora (m)</t>
  </si>
  <si>
    <t>Įsigyta traktorinė priekaba (vnt.)</t>
  </si>
  <si>
    <t>Sutvirtinta asfalto danga (km)</t>
  </si>
  <si>
    <t>Įrengti seniūnijos garažo vartai (vnt.)</t>
  </si>
  <si>
    <t>Įsigyti biuro baldai (kėdės, stalai, spintelės, spintos, roletai) (vnt.)</t>
  </si>
  <si>
    <t>Įsigytos benzininės žoliapjovės (vnt.)</t>
  </si>
  <si>
    <t>Įsigytas traktorinis augalų atliekų smulkintuvas (vnt.)</t>
  </si>
  <si>
    <t>Įsigyta automobilinė priekaba (vnt.)</t>
  </si>
  <si>
    <t>Įsigytas suvirinimo aparatas (vnt.)</t>
  </si>
  <si>
    <t>Įrengti informaciniai stendai (vnt.)</t>
  </si>
  <si>
    <t xml:space="preserve">Įrengtas atminimo paminklas Lietuvos savanoriams Kulvos k. </t>
  </si>
  <si>
    <t>Renovuota apšvietimo sistema (m)</t>
  </si>
  <si>
    <t>Įrengtų vaizdo stebėjimo kamerų skaičius (vnt.)</t>
  </si>
  <si>
    <t>Suremontuotos pirtys (vnt.)</t>
  </si>
  <si>
    <t>Įrengti (atnaujinti) laiptai (m)</t>
  </si>
  <si>
    <t>Įrengtas gatvių apšvietimas (vnt.)</t>
  </si>
  <si>
    <t>Renovuota drenažo sistema (m)</t>
  </si>
  <si>
    <t>Įsigyta traktorinė žoliapjovė su žolės rinktuvu ir šonine šluotele (vnt.)</t>
  </si>
  <si>
    <t>Rekonstruotas šaligatvis rie Kultūros centro (m2)</t>
  </si>
  <si>
    <t>Įrengti gatvių apšvietimo stulpai (vnt.)</t>
  </si>
  <si>
    <t>Įsigytas sodo traktoriukas (vnt.)</t>
  </si>
  <si>
    <t xml:space="preserve">Įrengta Užusalių kapinių tvora (m) </t>
  </si>
  <si>
    <t>Įrengti gatvių apšvietimo stulpai Užusalių k. Vyturių g. ir Kalnėų k. Plento g.</t>
  </si>
  <si>
    <t>Įrengtas granulinis kieto kuro katilo degiklis Žeimių bendruomenės namuose (vnt.)</t>
  </si>
  <si>
    <t>Įsigytas prikabinamas kelių greideris ir šakų smulkintuvas (vnt.)</t>
  </si>
  <si>
    <t>Suremontuotos apšvietimo atramos su šviestuvais Martiniškių k. (vnt.)</t>
  </si>
  <si>
    <t>Naujai įrengta asfalto danga dalies Ateities g. Žeimių mstl. gatvės (m2)</t>
  </si>
  <si>
    <t>Įrengtas Konstantino Bogdano memorialinis muziejus (vnt.)</t>
  </si>
  <si>
    <t>Įrengtų kolumbariumo sekcijų skaičius (vnt.)</t>
  </si>
  <si>
    <t>"Savivaldybės valdymas ir pagrindinių funkcijų vykdymas"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</si>
</sst>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L_t_-;\-* #,##0.00\ _L_t_-;_-* &quot;-&quot;??\ _L_t_-;_-@_-"/>
    <numFmt numFmtId="165" formatCode="0.0"/>
    <numFmt numFmtId="166" formatCode="0&quot; %&quot;"/>
    <numFmt numFmtId="167" formatCode="0.0%"/>
    <numFmt numFmtId="168" formatCode="_-* #,##0\ _L_t_-;\-* #,##0\ _L_t_-;_-* &quot;-&quot;??\ _L_t_-;_-@_-"/>
    <numFmt numFmtId="169" formatCode="0.000"/>
  </numFmts>
  <fonts count="33">
    <font>
      <sz val="10"/>
      <name val="Arial"/>
      <charset val="186"/>
    </font>
    <font>
      <sz val="10"/>
      <name val="Arial"/>
      <family val="2"/>
      <charset val="186"/>
    </font>
    <font>
      <sz val="10"/>
      <name val="Times New Roman"/>
      <family val="1"/>
      <charset val="186"/>
    </font>
    <font>
      <b/>
      <sz val="12"/>
      <name val="Times New Roman"/>
      <family val="1"/>
      <charset val="186"/>
    </font>
    <font>
      <b/>
      <sz val="8"/>
      <name val="Times New Roman"/>
      <family val="1"/>
      <charset val="186"/>
    </font>
    <font>
      <sz val="8"/>
      <name val="Times New Roman"/>
      <family val="1"/>
      <charset val="186"/>
    </font>
    <font>
      <sz val="8"/>
      <name val="Arial"/>
      <family val="2"/>
      <charset val="186"/>
    </font>
    <font>
      <sz val="10"/>
      <name val="TimesLT"/>
      <charset val="186"/>
    </font>
    <font>
      <sz val="8"/>
      <name val="TimesLT"/>
      <charset val="186"/>
    </font>
    <font>
      <b/>
      <sz val="10"/>
      <name val="Times New Roman"/>
      <family val="1"/>
      <charset val="186"/>
    </font>
    <font>
      <b/>
      <sz val="10"/>
      <name val="Arial"/>
      <family val="2"/>
      <charset val="186"/>
    </font>
    <font>
      <sz val="8"/>
      <color indexed="10"/>
      <name val="Times New Roman"/>
      <family val="1"/>
      <charset val="186"/>
    </font>
    <font>
      <sz val="10"/>
      <color indexed="10"/>
      <name val="Times New Roman"/>
      <family val="1"/>
      <charset val="186"/>
    </font>
    <font>
      <b/>
      <sz val="9"/>
      <name val="Times New Roman"/>
      <family val="1"/>
      <charset val="186"/>
    </font>
    <font>
      <sz val="9"/>
      <name val="Times New Roman"/>
      <family val="1"/>
      <charset val="186"/>
    </font>
    <font>
      <sz val="8"/>
      <name val="Times New Roman"/>
      <family val="1"/>
      <charset val="204"/>
    </font>
    <font>
      <b/>
      <sz val="10"/>
      <name val="Arial"/>
      <family val="2"/>
      <charset val="186"/>
    </font>
    <font>
      <b/>
      <sz val="12"/>
      <name val="Arial"/>
      <family val="2"/>
      <charset val="186"/>
    </font>
    <font>
      <sz val="12"/>
      <name val="Times New Roman"/>
      <family val="1"/>
      <charset val="186"/>
    </font>
    <font>
      <sz val="10"/>
      <name val="Arial"/>
      <family val="2"/>
      <charset val="186"/>
    </font>
    <font>
      <sz val="10"/>
      <color indexed="9"/>
      <name val="Times New Roman"/>
      <family val="1"/>
      <charset val="186"/>
    </font>
    <font>
      <sz val="10"/>
      <name val="Arial"/>
      <family val="2"/>
      <charset val="186"/>
    </font>
    <font>
      <b/>
      <sz val="8"/>
      <name val="Times New Roman"/>
      <family val="1"/>
      <charset val="204"/>
    </font>
    <font>
      <sz val="11"/>
      <color theme="1"/>
      <name val="Calibri"/>
      <family val="2"/>
      <scheme val="minor"/>
    </font>
    <font>
      <sz val="10"/>
      <color rgb="FFFF0000"/>
      <name val="Times New Roman"/>
      <family val="1"/>
      <charset val="186"/>
    </font>
    <font>
      <sz val="8"/>
      <color theme="1"/>
      <name val="Times New Roman"/>
      <family val="1"/>
      <charset val="186"/>
    </font>
    <font>
      <sz val="7"/>
      <name val="Times New Roman"/>
      <family val="1"/>
      <charset val="186"/>
    </font>
    <font>
      <sz val="7"/>
      <name val="Arial"/>
      <family val="2"/>
      <charset val="186"/>
    </font>
    <font>
      <b/>
      <sz val="8"/>
      <name val="Arial"/>
      <family val="2"/>
      <charset val="186"/>
    </font>
    <font>
      <b/>
      <sz val="8"/>
      <name val="Times New Roman"/>
      <family val="1"/>
    </font>
    <font>
      <b/>
      <sz val="10"/>
      <name val="Arial"/>
      <family val="2"/>
    </font>
    <font>
      <b/>
      <sz val="9"/>
      <name val="Times New Roman"/>
      <family val="1"/>
    </font>
    <font>
      <sz val="8"/>
      <color rgb="FFFF0000"/>
      <name val="Times New Roman"/>
      <family val="1"/>
      <charset val="186"/>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rgb="FFFF0000"/>
        <bgColor indexed="64"/>
      </patternFill>
    </fill>
  </fills>
  <borders count="108">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8"/>
      </left>
      <right/>
      <top style="thin">
        <color indexed="64"/>
      </top>
      <bottom style="thin">
        <color indexed="64"/>
      </bottom>
      <diagonal/>
    </border>
    <border>
      <left/>
      <right/>
      <top style="thin">
        <color indexed="64"/>
      </top>
      <bottom style="thin">
        <color indexed="64"/>
      </bottom>
      <diagonal/>
    </border>
    <border>
      <left style="thin">
        <color indexed="8"/>
      </left>
      <right/>
      <top/>
      <bottom/>
      <diagonal/>
    </border>
    <border>
      <left style="thin">
        <color indexed="8"/>
      </left>
      <right/>
      <top style="thin">
        <color indexed="8"/>
      </top>
      <bottom/>
      <diagonal/>
    </border>
    <border>
      <left/>
      <right/>
      <top style="thin">
        <color indexed="64"/>
      </top>
      <bottom style="thin">
        <color indexed="8"/>
      </bottom>
      <diagonal/>
    </border>
    <border>
      <left/>
      <right/>
      <top style="thin">
        <color indexed="8"/>
      </top>
      <bottom style="thin">
        <color indexed="8"/>
      </bottom>
      <diagonal/>
    </border>
    <border>
      <left/>
      <right/>
      <top style="thin">
        <color indexed="8"/>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medium">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8"/>
      </right>
      <top style="thin">
        <color indexed="8"/>
      </top>
      <bottom style="thin">
        <color indexed="8"/>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8"/>
      </right>
      <top/>
      <bottom style="thin">
        <color indexed="64"/>
      </bottom>
      <diagonal/>
    </border>
    <border>
      <left/>
      <right style="thin">
        <color indexed="8"/>
      </right>
      <top style="thin">
        <color indexed="8"/>
      </top>
      <bottom/>
      <diagonal/>
    </border>
    <border>
      <left/>
      <right style="thin">
        <color indexed="64"/>
      </right>
      <top/>
      <bottom style="thin">
        <color indexed="8"/>
      </bottom>
      <diagonal/>
    </border>
    <border>
      <left style="thin">
        <color indexed="8"/>
      </left>
      <right style="thin">
        <color indexed="8"/>
      </right>
      <top style="medium">
        <color indexed="64"/>
      </top>
      <bottom style="medium">
        <color indexed="64"/>
      </bottom>
      <diagonal/>
    </border>
    <border>
      <left style="thin">
        <color indexed="8"/>
      </left>
      <right/>
      <top style="medium">
        <color indexed="64"/>
      </top>
      <bottom style="medium">
        <color indexed="64"/>
      </bottom>
      <diagonal/>
    </border>
    <border>
      <left/>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8"/>
      </right>
      <top style="thin">
        <color indexed="64"/>
      </top>
      <bottom style="thin">
        <color indexed="8"/>
      </bottom>
      <diagonal/>
    </border>
    <border>
      <left style="medium">
        <color indexed="64"/>
      </left>
      <right/>
      <top style="medium">
        <color indexed="64"/>
      </top>
      <bottom style="medium">
        <color indexed="64"/>
      </bottom>
      <diagonal/>
    </border>
    <border>
      <left/>
      <right style="thin">
        <color indexed="8"/>
      </right>
      <top style="medium">
        <color indexed="64"/>
      </top>
      <bottom style="medium">
        <color indexed="64"/>
      </bottom>
      <diagonal/>
    </border>
    <border>
      <left style="thin">
        <color indexed="64"/>
      </left>
      <right style="thin">
        <color indexed="64"/>
      </right>
      <top style="thin">
        <color indexed="8"/>
      </top>
      <bottom style="thin">
        <color indexed="8"/>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8"/>
      </left>
      <right/>
      <top/>
      <bottom style="thin">
        <color indexed="8"/>
      </bottom>
      <diagonal/>
    </border>
    <border>
      <left/>
      <right/>
      <top/>
      <bottom style="thin">
        <color indexed="8"/>
      </bottom>
      <diagonal/>
    </border>
    <border>
      <left style="thin">
        <color indexed="64"/>
      </left>
      <right/>
      <top/>
      <bottom style="thin">
        <color indexed="8"/>
      </bottom>
      <diagonal/>
    </border>
    <border>
      <left style="thin">
        <color indexed="64"/>
      </left>
      <right/>
      <top style="thin">
        <color indexed="8"/>
      </top>
      <bottom style="thin">
        <color indexed="8"/>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thin">
        <color indexed="8"/>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8"/>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8"/>
      </left>
      <right/>
      <top style="medium">
        <color indexed="64"/>
      </top>
      <bottom style="thin">
        <color indexed="8"/>
      </bottom>
      <diagonal/>
    </border>
    <border>
      <left style="thin">
        <color indexed="8"/>
      </left>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8"/>
      </bottom>
      <diagonal/>
    </border>
    <border>
      <left/>
      <right style="thin">
        <color indexed="8"/>
      </right>
      <top style="medium">
        <color indexed="64"/>
      </top>
      <bottom style="thin">
        <color indexed="8"/>
      </bottom>
      <diagonal/>
    </border>
    <border>
      <left/>
      <right style="thin">
        <color indexed="64"/>
      </right>
      <top style="medium">
        <color indexed="64"/>
      </top>
      <bottom style="thin">
        <color indexed="8"/>
      </bottom>
      <diagonal/>
    </border>
    <border>
      <left/>
      <right style="thin">
        <color indexed="8"/>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8"/>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8"/>
      </right>
      <top style="medium">
        <color indexed="64"/>
      </top>
      <bottom/>
      <diagonal/>
    </border>
    <border>
      <left style="thin">
        <color indexed="64"/>
      </left>
      <right style="thin">
        <color indexed="8"/>
      </right>
      <top/>
      <bottom/>
      <diagonal/>
    </border>
    <border>
      <left style="thin">
        <color indexed="8"/>
      </left>
      <right style="thin">
        <color indexed="64"/>
      </right>
      <top style="medium">
        <color indexed="64"/>
      </top>
      <bottom/>
      <diagonal/>
    </border>
    <border>
      <left style="thin">
        <color indexed="8"/>
      </left>
      <right style="thin">
        <color indexed="64"/>
      </right>
      <top/>
      <bottom style="thin">
        <color indexed="8"/>
      </bottom>
      <diagonal/>
    </border>
    <border>
      <left/>
      <right style="thin">
        <color indexed="64"/>
      </right>
      <top style="thin">
        <color indexed="8"/>
      </top>
      <bottom/>
      <diagonal/>
    </border>
    <border>
      <left style="medium">
        <color indexed="64"/>
      </left>
      <right/>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s>
  <cellStyleXfs count="15">
    <xf numFmtId="0" fontId="0" fillId="0" borderId="0"/>
    <xf numFmtId="0" fontId="1" fillId="0" borderId="0"/>
    <xf numFmtId="0" fontId="19" fillId="0" borderId="0"/>
    <xf numFmtId="0" fontId="1" fillId="0" borderId="0"/>
    <xf numFmtId="0" fontId="23" fillId="0" borderId="0"/>
    <xf numFmtId="0" fontId="1" fillId="0" borderId="0"/>
    <xf numFmtId="164" fontId="19" fillId="0" borderId="0" applyFont="0" applyFill="0" applyBorder="0" applyAlignment="0" applyProtection="0"/>
    <xf numFmtId="0" fontId="7" fillId="0" borderId="0"/>
    <xf numFmtId="0" fontId="7"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166" fontId="7" fillId="0" borderId="0" applyFont="0" applyFill="0" applyAlignment="0" applyProtection="0"/>
  </cellStyleXfs>
  <cellXfs count="1961">
    <xf numFmtId="0" fontId="0" fillId="0" borderId="0" xfId="0"/>
    <xf numFmtId="0" fontId="2" fillId="0" borderId="0" xfId="8" applyFont="1" applyBorder="1"/>
    <xf numFmtId="0" fontId="2" fillId="0" borderId="0" xfId="8" applyFont="1" applyAlignment="1">
      <alignment horizontal="center"/>
    </xf>
    <xf numFmtId="0" fontId="2" fillId="0" borderId="0" xfId="8" applyFont="1"/>
    <xf numFmtId="0" fontId="3" fillId="0" borderId="0" xfId="8" applyFont="1" applyAlignment="1">
      <alignment horizontal="center"/>
    </xf>
    <xf numFmtId="0" fontId="2" fillId="0" borderId="1" xfId="8" applyFont="1" applyBorder="1"/>
    <xf numFmtId="49" fontId="5" fillId="0" borderId="2" xfId="0" applyNumberFormat="1" applyFont="1" applyFill="1" applyBorder="1" applyAlignment="1">
      <alignment vertical="center"/>
    </xf>
    <xf numFmtId="0" fontId="2" fillId="0" borderId="0" xfId="8" applyFont="1" applyFill="1"/>
    <xf numFmtId="0" fontId="2" fillId="0" borderId="0" xfId="8" applyFont="1" applyFill="1" applyAlignment="1">
      <alignment horizontal="center"/>
    </xf>
    <xf numFmtId="0" fontId="3" fillId="0" borderId="0" xfId="8" applyFont="1" applyFill="1" applyAlignment="1">
      <alignment horizontal="center"/>
    </xf>
    <xf numFmtId="0" fontId="12" fillId="0" borderId="0" xfId="8" applyFont="1" applyFill="1"/>
    <xf numFmtId="0" fontId="12" fillId="0" borderId="0" xfId="8" applyFont="1"/>
    <xf numFmtId="0" fontId="12" fillId="0" borderId="0" xfId="8" applyFont="1" applyAlignment="1">
      <alignment horizontal="center"/>
    </xf>
    <xf numFmtId="0" fontId="12" fillId="0" borderId="0" xfId="8" applyFont="1" applyFill="1" applyAlignment="1">
      <alignment horizontal="center"/>
    </xf>
    <xf numFmtId="0" fontId="12" fillId="0" borderId="0" xfId="8" applyFont="1" applyBorder="1"/>
    <xf numFmtId="0" fontId="12" fillId="0" borderId="1" xfId="8" applyFont="1" applyBorder="1"/>
    <xf numFmtId="0" fontId="5" fillId="0" borderId="0" xfId="8" applyFont="1" applyFill="1"/>
    <xf numFmtId="0" fontId="9" fillId="0" borderId="0" xfId="8" applyFont="1" applyFill="1"/>
    <xf numFmtId="49" fontId="4" fillId="0" borderId="5" xfId="7" applyNumberFormat="1" applyFont="1" applyFill="1" applyBorder="1" applyAlignment="1">
      <alignment horizontal="left"/>
    </xf>
    <xf numFmtId="49" fontId="4" fillId="0" borderId="6" xfId="7" applyNumberFormat="1" applyFont="1" applyFill="1" applyBorder="1" applyAlignment="1">
      <alignment horizontal="left"/>
    </xf>
    <xf numFmtId="165" fontId="0" fillId="0" borderId="0" xfId="0" applyNumberFormat="1"/>
    <xf numFmtId="0" fontId="2" fillId="0" borderId="2" xfId="0" applyFont="1" applyBorder="1" applyAlignment="1">
      <alignment vertical="top" wrapText="1"/>
    </xf>
    <xf numFmtId="0" fontId="2" fillId="2" borderId="2" xfId="0" applyFont="1" applyFill="1" applyBorder="1" applyAlignment="1">
      <alignment vertical="top" wrapText="1"/>
    </xf>
    <xf numFmtId="0" fontId="2" fillId="0" borderId="2" xfId="0" applyFont="1" applyBorder="1" applyAlignment="1">
      <alignment horizontal="left" vertical="top" wrapText="1"/>
    </xf>
    <xf numFmtId="165" fontId="2" fillId="0" borderId="2" xfId="0" applyNumberFormat="1" applyFont="1" applyBorder="1" applyAlignment="1">
      <alignment horizontal="right" wrapText="1"/>
    </xf>
    <xf numFmtId="0" fontId="2" fillId="0" borderId="0" xfId="0" applyFont="1" applyBorder="1" applyAlignment="1">
      <alignment vertical="top" wrapText="1"/>
    </xf>
    <xf numFmtId="0" fontId="2" fillId="0" borderId="0" xfId="0" applyFont="1" applyBorder="1" applyAlignment="1">
      <alignment horizontal="right" wrapText="1"/>
    </xf>
    <xf numFmtId="0" fontId="2" fillId="0" borderId="0" xfId="8" applyFont="1" applyFill="1" applyBorder="1"/>
    <xf numFmtId="0" fontId="2" fillId="2" borderId="2" xfId="0" applyFont="1" applyFill="1" applyBorder="1" applyAlignment="1">
      <alignment wrapText="1"/>
    </xf>
    <xf numFmtId="49" fontId="5" fillId="0" borderId="9" xfId="7" applyNumberFormat="1" applyFont="1" applyFill="1" applyBorder="1" applyAlignment="1">
      <alignment horizontal="center"/>
    </xf>
    <xf numFmtId="49" fontId="5" fillId="0" borderId="11" xfId="7" applyNumberFormat="1" applyFont="1" applyFill="1" applyBorder="1" applyAlignment="1">
      <alignment horizontal="center"/>
    </xf>
    <xf numFmtId="49" fontId="4" fillId="0" borderId="7" xfId="7" applyNumberFormat="1" applyFont="1" applyFill="1" applyBorder="1" applyAlignment="1">
      <alignment horizontal="left"/>
    </xf>
    <xf numFmtId="49" fontId="4" fillId="0" borderId="0" xfId="7" applyNumberFormat="1" applyFont="1" applyFill="1" applyBorder="1" applyAlignment="1">
      <alignment horizontal="left"/>
    </xf>
    <xf numFmtId="0" fontId="5" fillId="0" borderId="2" xfId="0" applyFont="1" applyFill="1" applyBorder="1" applyAlignment="1">
      <alignment horizontal="left"/>
    </xf>
    <xf numFmtId="0" fontId="2" fillId="0" borderId="0" xfId="8" applyFont="1" applyBorder="1" applyAlignment="1">
      <alignment horizontal="center"/>
    </xf>
    <xf numFmtId="0" fontId="2" fillId="0" borderId="0" xfId="8" applyFont="1" applyFill="1" applyBorder="1" applyAlignment="1">
      <alignment horizontal="center"/>
    </xf>
    <xf numFmtId="49" fontId="5" fillId="0" borderId="4" xfId="0" applyNumberFormat="1" applyFont="1" applyFill="1" applyBorder="1" applyAlignment="1">
      <alignment horizontal="center" vertical="center"/>
    </xf>
    <xf numFmtId="0" fontId="12" fillId="0" borderId="0" xfId="8" applyFont="1" applyBorder="1" applyAlignment="1">
      <alignment horizontal="center"/>
    </xf>
    <xf numFmtId="0" fontId="12" fillId="0" borderId="1" xfId="8" applyFont="1" applyBorder="1" applyAlignment="1">
      <alignment horizontal="center"/>
    </xf>
    <xf numFmtId="0" fontId="2" fillId="0" borderId="1" xfId="8" applyFont="1" applyBorder="1" applyAlignment="1">
      <alignment horizontal="center"/>
    </xf>
    <xf numFmtId="49" fontId="4" fillId="0" borderId="5" xfId="7" applyNumberFormat="1" applyFont="1" applyFill="1" applyBorder="1" applyAlignment="1"/>
    <xf numFmtId="49" fontId="4" fillId="0" borderId="6" xfId="7" applyNumberFormat="1" applyFont="1" applyFill="1" applyBorder="1" applyAlignment="1"/>
    <xf numFmtId="0" fontId="2" fillId="0" borderId="0" xfId="8" applyFont="1" applyFill="1" applyAlignment="1"/>
    <xf numFmtId="0" fontId="12" fillId="0" borderId="0" xfId="8" applyFont="1" applyFill="1" applyAlignment="1"/>
    <xf numFmtId="0" fontId="17" fillId="0" borderId="0" xfId="0" applyFont="1"/>
    <xf numFmtId="0" fontId="2" fillId="3" borderId="17" xfId="0" applyFont="1" applyFill="1" applyBorder="1" applyAlignment="1">
      <alignment horizontal="left" vertical="center" wrapText="1"/>
    </xf>
    <xf numFmtId="0" fontId="2" fillId="3" borderId="17" xfId="0" applyFont="1" applyFill="1" applyBorder="1" applyAlignment="1">
      <alignment vertical="center" wrapText="1"/>
    </xf>
    <xf numFmtId="10" fontId="0" fillId="0" borderId="18" xfId="10" applyNumberFormat="1" applyFont="1" applyBorder="1"/>
    <xf numFmtId="10" fontId="0" fillId="0" borderId="19" xfId="10" applyNumberFormat="1" applyFont="1" applyBorder="1"/>
    <xf numFmtId="10" fontId="0" fillId="3" borderId="20" xfId="10" applyNumberFormat="1" applyFont="1" applyFill="1" applyBorder="1"/>
    <xf numFmtId="0" fontId="20" fillId="0" borderId="0" xfId="8" applyFont="1" applyBorder="1" applyAlignment="1">
      <alignment horizontal="center"/>
    </xf>
    <xf numFmtId="0" fontId="20" fillId="0" borderId="0" xfId="8" applyFont="1" applyAlignment="1">
      <alignment horizontal="center"/>
    </xf>
    <xf numFmtId="165" fontId="20" fillId="0" borderId="0" xfId="8" applyNumberFormat="1" applyFont="1"/>
    <xf numFmtId="0" fontId="20" fillId="0" borderId="0" xfId="8" applyFont="1"/>
    <xf numFmtId="0" fontId="20" fillId="0" borderId="1" xfId="8" applyFont="1" applyBorder="1" applyAlignment="1">
      <alignment horizontal="center"/>
    </xf>
    <xf numFmtId="49" fontId="5" fillId="0" borderId="21" xfId="7" applyNumberFormat="1" applyFont="1" applyFill="1" applyBorder="1" applyAlignment="1">
      <alignment horizontal="center"/>
    </xf>
    <xf numFmtId="1" fontId="4" fillId="0" borderId="0" xfId="7" applyNumberFormat="1" applyFont="1" applyFill="1" applyBorder="1"/>
    <xf numFmtId="1" fontId="5" fillId="0" borderId="0" xfId="8" applyNumberFormat="1" applyFont="1"/>
    <xf numFmtId="1" fontId="2" fillId="3" borderId="2" xfId="0" applyNumberFormat="1" applyFont="1" applyFill="1" applyBorder="1" applyAlignment="1">
      <alignment vertical="center" wrapText="1"/>
    </xf>
    <xf numFmtId="1" fontId="2" fillId="3" borderId="23" xfId="0" applyNumberFormat="1" applyFont="1" applyFill="1" applyBorder="1" applyAlignment="1">
      <alignment vertical="center" wrapText="1"/>
    </xf>
    <xf numFmtId="1" fontId="2" fillId="0" borderId="2" xfId="0" applyNumberFormat="1" applyFont="1" applyFill="1" applyBorder="1" applyAlignment="1">
      <alignment vertical="center" wrapText="1"/>
    </xf>
    <xf numFmtId="1" fontId="2" fillId="0" borderId="23" xfId="0" applyNumberFormat="1" applyFont="1" applyFill="1" applyBorder="1" applyAlignment="1">
      <alignment vertical="center" wrapText="1"/>
    </xf>
    <xf numFmtId="1" fontId="2" fillId="0" borderId="24" xfId="0" applyNumberFormat="1" applyFont="1" applyFill="1" applyBorder="1" applyAlignment="1">
      <alignment vertical="center" wrapText="1"/>
    </xf>
    <xf numFmtId="1" fontId="2" fillId="0" borderId="25" xfId="0" applyNumberFormat="1" applyFont="1" applyFill="1" applyBorder="1" applyAlignment="1">
      <alignment vertical="center" wrapText="1"/>
    </xf>
    <xf numFmtId="1" fontId="12" fillId="0" borderId="0" xfId="7" applyNumberFormat="1" applyFont="1" applyFill="1" applyBorder="1"/>
    <xf numFmtId="1" fontId="12" fillId="0" borderId="0" xfId="8" applyNumberFormat="1" applyFont="1"/>
    <xf numFmtId="1" fontId="5" fillId="0" borderId="12" xfId="7" applyNumberFormat="1" applyFont="1" applyFill="1" applyBorder="1"/>
    <xf numFmtId="0" fontId="18" fillId="0" borderId="0" xfId="3" applyFont="1" applyAlignment="1">
      <alignment vertical="top"/>
    </xf>
    <xf numFmtId="0" fontId="18" fillId="0" borderId="24" xfId="3" applyFont="1" applyBorder="1" applyAlignment="1">
      <alignment horizontal="center" vertical="center" textRotation="90"/>
    </xf>
    <xf numFmtId="0" fontId="18" fillId="0" borderId="25" xfId="3" applyFont="1" applyBorder="1" applyAlignment="1">
      <alignment horizontal="center" vertical="center" textRotation="90"/>
    </xf>
    <xf numFmtId="0" fontId="18" fillId="0" borderId="0" xfId="3" applyFont="1" applyAlignment="1">
      <alignment vertical="top" wrapText="1"/>
    </xf>
    <xf numFmtId="0" fontId="3" fillId="0" borderId="0" xfId="3" applyFont="1" applyAlignment="1">
      <alignment vertical="top" wrapText="1"/>
    </xf>
    <xf numFmtId="0" fontId="3" fillId="0" borderId="0" xfId="3" applyFont="1" applyAlignment="1">
      <alignment horizontal="left" vertical="top"/>
    </xf>
    <xf numFmtId="0" fontId="18" fillId="0" borderId="0" xfId="3" applyFont="1" applyAlignment="1">
      <alignment horizontal="left" vertical="top"/>
    </xf>
    <xf numFmtId="49" fontId="5" fillId="0" borderId="13" xfId="7" applyNumberFormat="1" applyFont="1" applyFill="1" applyBorder="1" applyAlignment="1">
      <alignment horizontal="left"/>
    </xf>
    <xf numFmtId="49" fontId="5" fillId="0" borderId="28" xfId="7" applyNumberFormat="1" applyFont="1" applyFill="1" applyBorder="1" applyAlignment="1">
      <alignment horizontal="center"/>
    </xf>
    <xf numFmtId="49" fontId="5" fillId="0" borderId="32" xfId="7" applyNumberFormat="1" applyFont="1" applyFill="1" applyBorder="1" applyAlignment="1">
      <alignment horizontal="center"/>
    </xf>
    <xf numFmtId="49" fontId="5" fillId="0" borderId="27" xfId="0" applyNumberFormat="1" applyFont="1" applyFill="1" applyBorder="1" applyAlignment="1">
      <alignment horizontal="center" vertical="center"/>
    </xf>
    <xf numFmtId="49" fontId="5" fillId="0" borderId="26" xfId="7" applyNumberFormat="1" applyFont="1" applyFill="1" applyBorder="1" applyAlignment="1">
      <alignment horizontal="left"/>
    </xf>
    <xf numFmtId="1" fontId="4" fillId="0" borderId="34" xfId="7" applyNumberFormat="1" applyFont="1" applyFill="1" applyBorder="1"/>
    <xf numFmtId="165" fontId="5" fillId="0" borderId="13" xfId="7" applyNumberFormat="1" applyFont="1" applyFill="1" applyBorder="1"/>
    <xf numFmtId="49" fontId="4" fillId="0" borderId="6" xfId="7" applyNumberFormat="1" applyFont="1" applyFill="1" applyBorder="1" applyAlignment="1">
      <alignment horizontal="right"/>
    </xf>
    <xf numFmtId="49" fontId="5" fillId="0" borderId="6" xfId="7" applyNumberFormat="1" applyFont="1" applyFill="1" applyBorder="1" applyAlignment="1">
      <alignment horizontal="right"/>
    </xf>
    <xf numFmtId="49" fontId="4" fillId="0" borderId="0" xfId="7" applyNumberFormat="1" applyFont="1" applyFill="1" applyBorder="1" applyAlignment="1">
      <alignment horizontal="right"/>
    </xf>
    <xf numFmtId="1" fontId="4" fillId="0" borderId="37" xfId="7" applyNumberFormat="1" applyFont="1" applyFill="1" applyBorder="1"/>
    <xf numFmtId="1" fontId="5" fillId="0" borderId="24" xfId="7" applyNumberFormat="1" applyFont="1" applyFill="1" applyBorder="1"/>
    <xf numFmtId="49" fontId="11" fillId="0" borderId="1" xfId="0" applyNumberFormat="1" applyFont="1" applyFill="1" applyBorder="1" applyAlignment="1">
      <alignment horizontal="center" vertical="center"/>
    </xf>
    <xf numFmtId="49" fontId="5" fillId="0" borderId="40" xfId="7" applyNumberFormat="1" applyFont="1" applyFill="1" applyBorder="1" applyAlignment="1">
      <alignment horizontal="center"/>
    </xf>
    <xf numFmtId="49" fontId="11" fillId="0" borderId="41" xfId="0" applyNumberFormat="1" applyFont="1" applyFill="1" applyBorder="1" applyAlignment="1">
      <alignment horizontal="center" vertical="center"/>
    </xf>
    <xf numFmtId="165" fontId="5" fillId="0" borderId="24" xfId="7" applyNumberFormat="1" applyFont="1" applyFill="1" applyBorder="1"/>
    <xf numFmtId="165" fontId="5" fillId="0" borderId="12" xfId="7" applyNumberFormat="1" applyFont="1" applyFill="1" applyBorder="1" applyAlignment="1">
      <alignment horizontal="right"/>
    </xf>
    <xf numFmtId="165" fontId="4" fillId="0" borderId="34" xfId="7" applyNumberFormat="1" applyFont="1" applyFill="1" applyBorder="1"/>
    <xf numFmtId="0" fontId="2" fillId="0" borderId="0" xfId="8" applyFont="1" applyAlignment="1">
      <alignment horizontal="right"/>
    </xf>
    <xf numFmtId="1" fontId="4" fillId="0" borderId="0" xfId="7" applyNumberFormat="1" applyFont="1" applyFill="1" applyBorder="1" applyAlignment="1">
      <alignment horizontal="right"/>
    </xf>
    <xf numFmtId="1" fontId="5" fillId="0" borderId="22" xfId="7" applyNumberFormat="1" applyFont="1" applyFill="1" applyBorder="1" applyAlignment="1">
      <alignment horizontal="right"/>
    </xf>
    <xf numFmtId="0" fontId="12" fillId="0" borderId="0" xfId="8" applyFont="1" applyAlignment="1">
      <alignment horizontal="right"/>
    </xf>
    <xf numFmtId="1" fontId="12" fillId="0" borderId="0" xfId="8" applyNumberFormat="1" applyFont="1" applyAlignment="1">
      <alignment horizontal="right"/>
    </xf>
    <xf numFmtId="49" fontId="5" fillId="0" borderId="16" xfId="0" applyNumberFormat="1" applyFont="1" applyFill="1" applyBorder="1" applyAlignment="1">
      <alignment horizontal="left" vertical="center"/>
    </xf>
    <xf numFmtId="0" fontId="5" fillId="0" borderId="2" xfId="0" applyNumberFormat="1" applyFont="1" applyFill="1" applyBorder="1" applyAlignment="1">
      <alignment horizontal="left" vertical="center"/>
    </xf>
    <xf numFmtId="0" fontId="5" fillId="0" borderId="16" xfId="0" applyNumberFormat="1" applyFont="1" applyFill="1" applyBorder="1" applyAlignment="1">
      <alignment horizontal="left" vertical="center"/>
    </xf>
    <xf numFmtId="165" fontId="4" fillId="0" borderId="0" xfId="7" applyNumberFormat="1" applyFont="1" applyFill="1" applyBorder="1" applyAlignment="1">
      <alignment horizontal="left"/>
    </xf>
    <xf numFmtId="165" fontId="4" fillId="0" borderId="0" xfId="7" applyNumberFormat="1" applyFont="1" applyFill="1" applyBorder="1"/>
    <xf numFmtId="49" fontId="13" fillId="0" borderId="51" xfId="7" applyNumberFormat="1" applyFont="1" applyFill="1" applyBorder="1" applyAlignment="1">
      <alignment horizontal="left" wrapText="1"/>
    </xf>
    <xf numFmtId="49" fontId="13" fillId="0" borderId="52" xfId="7" applyNumberFormat="1" applyFont="1" applyFill="1" applyBorder="1" applyAlignment="1">
      <alignment horizontal="left" wrapText="1"/>
    </xf>
    <xf numFmtId="49" fontId="4" fillId="0" borderId="0" xfId="7" applyNumberFormat="1" applyFont="1" applyFill="1" applyBorder="1" applyAlignment="1">
      <alignment horizontal="center"/>
    </xf>
    <xf numFmtId="49" fontId="5" fillId="0" borderId="53" xfId="7" applyNumberFormat="1" applyFont="1" applyFill="1" applyBorder="1" applyAlignment="1">
      <alignment horizontal="left" wrapText="1"/>
    </xf>
    <xf numFmtId="167" fontId="4" fillId="0" borderId="46" xfId="11" applyNumberFormat="1" applyFont="1" applyFill="1" applyBorder="1" applyAlignment="1">
      <alignment horizontal="right" vertical="center" wrapText="1"/>
    </xf>
    <xf numFmtId="49" fontId="5" fillId="0" borderId="28" xfId="0" applyNumberFormat="1" applyFont="1" applyFill="1" applyBorder="1" applyAlignment="1">
      <alignment horizontal="left" vertical="center"/>
    </xf>
    <xf numFmtId="165" fontId="5" fillId="0" borderId="58" xfId="7" applyNumberFormat="1" applyFont="1" applyFill="1" applyBorder="1"/>
    <xf numFmtId="1" fontId="5" fillId="0" borderId="13" xfId="7" applyNumberFormat="1" applyFont="1" applyFill="1" applyBorder="1" applyAlignment="1">
      <alignment horizontal="right"/>
    </xf>
    <xf numFmtId="0" fontId="18" fillId="0" borderId="0" xfId="3" applyFont="1" applyFill="1" applyAlignment="1">
      <alignment horizontal="left" vertical="top"/>
    </xf>
    <xf numFmtId="0" fontId="18" fillId="0" borderId="0" xfId="3" applyFont="1" applyFill="1" applyAlignment="1">
      <alignment vertical="top" wrapText="1"/>
    </xf>
    <xf numFmtId="0" fontId="3" fillId="0" borderId="0" xfId="3" applyFont="1" applyFill="1" applyAlignment="1">
      <alignment horizontal="left" vertical="top"/>
    </xf>
    <xf numFmtId="0" fontId="3" fillId="0" borderId="0" xfId="3" applyFont="1" applyFill="1" applyAlignment="1">
      <alignment vertical="top" wrapText="1"/>
    </xf>
    <xf numFmtId="0" fontId="18" fillId="0" borderId="24" xfId="3" applyFont="1" applyFill="1" applyBorder="1" applyAlignment="1">
      <alignment horizontal="center" vertical="center" textRotation="90"/>
    </xf>
    <xf numFmtId="0" fontId="18" fillId="0" borderId="25" xfId="3" applyFont="1" applyFill="1" applyBorder="1" applyAlignment="1">
      <alignment horizontal="center" vertical="center" textRotation="90"/>
    </xf>
    <xf numFmtId="0" fontId="12" fillId="0" borderId="0" xfId="8" applyFont="1" applyFill="1" applyBorder="1" applyAlignment="1">
      <alignment horizontal="center"/>
    </xf>
    <xf numFmtId="1" fontId="5" fillId="0" borderId="0" xfId="8" applyNumberFormat="1" applyFont="1" applyFill="1"/>
    <xf numFmtId="0" fontId="2" fillId="0" borderId="0" xfId="8" applyFont="1" applyFill="1" applyAlignment="1">
      <alignment horizontal="right"/>
    </xf>
    <xf numFmtId="1" fontId="5" fillId="0" borderId="0" xfId="8" applyNumberFormat="1" applyFont="1" applyFill="1" applyAlignment="1">
      <alignment horizontal="right"/>
    </xf>
    <xf numFmtId="165" fontId="12" fillId="0" borderId="0" xfId="8" applyNumberFormat="1" applyFont="1" applyFill="1" applyAlignment="1">
      <alignment horizontal="center"/>
    </xf>
    <xf numFmtId="0" fontId="12" fillId="0" borderId="1" xfId="8" applyFont="1" applyFill="1" applyBorder="1" applyAlignment="1">
      <alignment horizontal="center"/>
    </xf>
    <xf numFmtId="0" fontId="2" fillId="0" borderId="1" xfId="8" applyFont="1" applyFill="1" applyBorder="1" applyAlignment="1">
      <alignment horizontal="center"/>
    </xf>
    <xf numFmtId="49" fontId="5" fillId="0" borderId="14" xfId="0" applyNumberFormat="1" applyFont="1" applyFill="1" applyBorder="1" applyAlignment="1">
      <alignment horizontal="left" vertical="center"/>
    </xf>
    <xf numFmtId="0" fontId="3" fillId="4" borderId="0" xfId="8" applyFont="1" applyFill="1" applyAlignment="1">
      <alignment horizontal="center"/>
    </xf>
    <xf numFmtId="0" fontId="18" fillId="4" borderId="24" xfId="3" applyFont="1" applyFill="1" applyBorder="1" applyAlignment="1">
      <alignment horizontal="center" vertical="center" textRotation="90"/>
    </xf>
    <xf numFmtId="0" fontId="18" fillId="4" borderId="25" xfId="3" applyFont="1" applyFill="1" applyBorder="1" applyAlignment="1">
      <alignment horizontal="center" vertical="center" textRotation="90"/>
    </xf>
    <xf numFmtId="49" fontId="5" fillId="0" borderId="10" xfId="7" applyNumberFormat="1" applyFont="1" applyFill="1" applyBorder="1" applyAlignment="1">
      <alignment horizontal="center"/>
    </xf>
    <xf numFmtId="165" fontId="5" fillId="0" borderId="2" xfId="7" applyNumberFormat="1" applyFont="1" applyFill="1" applyBorder="1" applyAlignment="1">
      <alignment horizontal="right"/>
    </xf>
    <xf numFmtId="0" fontId="2" fillId="0" borderId="0" xfId="8" applyFont="1" applyFill="1"/>
    <xf numFmtId="49" fontId="5" fillId="0" borderId="2" xfId="0" applyNumberFormat="1" applyFont="1" applyFill="1" applyBorder="1" applyAlignment="1">
      <alignment horizontal="left" vertical="center"/>
    </xf>
    <xf numFmtId="1" fontId="5" fillId="0" borderId="2" xfId="7" applyNumberFormat="1" applyFont="1" applyFill="1" applyBorder="1"/>
    <xf numFmtId="49" fontId="5" fillId="0" borderId="64" xfId="0" applyNumberFormat="1" applyFont="1" applyFill="1" applyBorder="1" applyAlignment="1">
      <alignment horizontal="left" vertical="center"/>
    </xf>
    <xf numFmtId="0" fontId="5" fillId="0" borderId="58" xfId="0" applyNumberFormat="1" applyFont="1" applyFill="1" applyBorder="1" applyAlignment="1">
      <alignment horizontal="left" vertical="center"/>
    </xf>
    <xf numFmtId="165" fontId="4" fillId="0" borderId="53" xfId="7" applyNumberFormat="1" applyFont="1" applyFill="1" applyBorder="1" applyAlignment="1">
      <alignment horizontal="right"/>
    </xf>
    <xf numFmtId="1" fontId="4" fillId="0" borderId="53" xfId="7" applyNumberFormat="1" applyFont="1" applyFill="1" applyBorder="1"/>
    <xf numFmtId="1" fontId="5" fillId="4" borderId="53" xfId="7" applyNumberFormat="1" applyFont="1" applyFill="1" applyBorder="1"/>
    <xf numFmtId="1" fontId="5" fillId="4" borderId="46" xfId="7" applyNumberFormat="1" applyFont="1" applyFill="1" applyBorder="1"/>
    <xf numFmtId="49" fontId="5" fillId="0" borderId="87" xfId="0" applyNumberFormat="1" applyFont="1" applyFill="1" applyBorder="1" applyAlignment="1">
      <alignment vertical="center"/>
    </xf>
    <xf numFmtId="1" fontId="5" fillId="0" borderId="53" xfId="7" applyNumberFormat="1" applyFont="1" applyFill="1" applyBorder="1"/>
    <xf numFmtId="1" fontId="5" fillId="0" borderId="71" xfId="7" applyNumberFormat="1" applyFont="1" applyFill="1" applyBorder="1"/>
    <xf numFmtId="1" fontId="4" fillId="0" borderId="86" xfId="7" applyNumberFormat="1" applyFont="1" applyFill="1" applyBorder="1"/>
    <xf numFmtId="165" fontId="4" fillId="0" borderId="22" xfId="7" applyNumberFormat="1" applyFont="1" applyFill="1" applyBorder="1" applyAlignment="1">
      <alignment horizontal="right"/>
    </xf>
    <xf numFmtId="1" fontId="5" fillId="0" borderId="58" xfId="7" applyNumberFormat="1" applyFont="1" applyFill="1" applyBorder="1"/>
    <xf numFmtId="165" fontId="5" fillId="0" borderId="24" xfId="7" applyNumberFormat="1" applyFont="1" applyFill="1" applyBorder="1" applyAlignment="1">
      <alignment horizontal="right"/>
    </xf>
    <xf numFmtId="49" fontId="5" fillId="0" borderId="26" xfId="0" applyNumberFormat="1" applyFont="1" applyFill="1" applyBorder="1" applyAlignment="1">
      <alignment horizontal="center" vertical="center"/>
    </xf>
    <xf numFmtId="49" fontId="5" fillId="0" borderId="94" xfId="7" applyNumberFormat="1" applyFont="1" applyFill="1" applyBorder="1" applyAlignment="1">
      <alignment horizontal="center"/>
    </xf>
    <xf numFmtId="0" fontId="4" fillId="0" borderId="72" xfId="0" applyNumberFormat="1" applyFont="1" applyFill="1" applyBorder="1" applyAlignment="1">
      <alignment horizontal="left" vertical="center"/>
    </xf>
    <xf numFmtId="1" fontId="5" fillId="0" borderId="61" xfId="7" applyNumberFormat="1" applyFont="1" applyFill="1" applyBorder="1"/>
    <xf numFmtId="1" fontId="5" fillId="0" borderId="53" xfId="7" applyNumberFormat="1" applyFont="1" applyFill="1" applyBorder="1" applyAlignment="1">
      <alignment horizontal="right"/>
    </xf>
    <xf numFmtId="1" fontId="5" fillId="0" borderId="13" xfId="7" applyNumberFormat="1" applyFont="1" applyFill="1" applyBorder="1" applyAlignment="1">
      <alignment wrapText="1"/>
    </xf>
    <xf numFmtId="1" fontId="5" fillId="0" borderId="71" xfId="7" applyNumberFormat="1" applyFont="1" applyFill="1" applyBorder="1" applyAlignment="1">
      <alignment wrapText="1"/>
    </xf>
    <xf numFmtId="1" fontId="5" fillId="0" borderId="53" xfId="7" applyNumberFormat="1" applyFont="1" applyFill="1" applyBorder="1" applyAlignment="1">
      <alignment wrapText="1"/>
    </xf>
    <xf numFmtId="1" fontId="5" fillId="0" borderId="22" xfId="7" applyNumberFormat="1" applyFont="1" applyFill="1" applyBorder="1" applyAlignment="1">
      <alignment wrapText="1"/>
    </xf>
    <xf numFmtId="0" fontId="25" fillId="4" borderId="53" xfId="0" applyFont="1" applyFill="1" applyBorder="1" applyAlignment="1">
      <alignment horizontal="left" wrapText="1"/>
    </xf>
    <xf numFmtId="49" fontId="5" fillId="0" borderId="86" xfId="7" applyNumberFormat="1" applyFont="1" applyFill="1" applyBorder="1" applyAlignment="1">
      <alignment horizontal="left"/>
    </xf>
    <xf numFmtId="165" fontId="5" fillId="0" borderId="53" xfId="7" applyNumberFormat="1" applyFont="1" applyFill="1" applyBorder="1" applyAlignment="1">
      <alignment horizontal="right"/>
    </xf>
    <xf numFmtId="1" fontId="4" fillId="0" borderId="61" xfId="7" applyNumberFormat="1" applyFont="1" applyFill="1" applyBorder="1"/>
    <xf numFmtId="165" fontId="5" fillId="0" borderId="53" xfId="7" applyNumberFormat="1" applyFont="1" applyFill="1" applyBorder="1"/>
    <xf numFmtId="165" fontId="4" fillId="0" borderId="91" xfId="7" applyNumberFormat="1" applyFont="1" applyFill="1" applyBorder="1" applyAlignment="1">
      <alignment horizontal="right"/>
    </xf>
    <xf numFmtId="49" fontId="5" fillId="0" borderId="24" xfId="7" applyNumberFormat="1" applyFont="1" applyFill="1" applyBorder="1" applyAlignment="1">
      <alignment horizontal="center"/>
    </xf>
    <xf numFmtId="165" fontId="4" fillId="0" borderId="53" xfId="7" applyNumberFormat="1" applyFont="1" applyFill="1" applyBorder="1"/>
    <xf numFmtId="49" fontId="5" fillId="0" borderId="53" xfId="7" applyNumberFormat="1" applyFont="1" applyFill="1" applyBorder="1" applyAlignment="1">
      <alignment horizontal="left"/>
    </xf>
    <xf numFmtId="1" fontId="5" fillId="0" borderId="53" xfId="7" applyNumberFormat="1" applyFont="1" applyFill="1" applyBorder="1" applyAlignment="1">
      <alignment horizontal="left" vertical="top" wrapText="1"/>
    </xf>
    <xf numFmtId="1" fontId="5" fillId="4" borderId="53" xfId="7" applyNumberFormat="1" applyFont="1" applyFill="1" applyBorder="1" applyAlignment="1">
      <alignment horizontal="right"/>
    </xf>
    <xf numFmtId="1" fontId="5" fillId="4" borderId="46" xfId="7" applyNumberFormat="1" applyFont="1" applyFill="1" applyBorder="1" applyAlignment="1">
      <alignment horizontal="right"/>
    </xf>
    <xf numFmtId="1" fontId="5" fillId="0" borderId="23" xfId="7" applyNumberFormat="1" applyFont="1" applyFill="1" applyBorder="1" applyAlignment="1">
      <alignment horizontal="right"/>
    </xf>
    <xf numFmtId="165" fontId="5" fillId="0" borderId="12" xfId="7" applyNumberFormat="1" applyFont="1" applyFill="1" applyBorder="1"/>
    <xf numFmtId="165" fontId="5" fillId="0" borderId="91" xfId="7" applyNumberFormat="1" applyFont="1" applyFill="1" applyBorder="1"/>
    <xf numFmtId="165" fontId="5" fillId="0" borderId="46" xfId="7" applyNumberFormat="1" applyFont="1" applyFill="1" applyBorder="1" applyAlignment="1">
      <alignment horizontal="right"/>
    </xf>
    <xf numFmtId="1" fontId="5" fillId="0" borderId="61" xfId="7" applyNumberFormat="1" applyFont="1" applyFill="1" applyBorder="1" applyAlignment="1">
      <alignment horizontal="center"/>
    </xf>
    <xf numFmtId="1" fontId="5" fillId="0" borderId="46" xfId="7" applyNumberFormat="1" applyFont="1" applyFill="1" applyBorder="1" applyAlignment="1">
      <alignment horizontal="right"/>
    </xf>
    <xf numFmtId="1" fontId="5" fillId="0" borderId="61" xfId="7" applyNumberFormat="1" applyFont="1" applyFill="1" applyBorder="1" applyAlignment="1">
      <alignment horizontal="left" wrapText="1"/>
    </xf>
    <xf numFmtId="1" fontId="5" fillId="0" borderId="53" xfId="7" applyNumberFormat="1" applyFont="1" applyFill="1" applyBorder="1" applyAlignment="1">
      <alignment horizontal="left" wrapText="1"/>
    </xf>
    <xf numFmtId="165" fontId="5" fillId="0" borderId="71" xfId="7" applyNumberFormat="1" applyFont="1" applyFill="1" applyBorder="1"/>
    <xf numFmtId="165" fontId="4" fillId="0" borderId="91" xfId="7" applyNumberFormat="1" applyFont="1" applyFill="1" applyBorder="1"/>
    <xf numFmtId="1" fontId="4" fillId="0" borderId="53" xfId="7" applyNumberFormat="1" applyFont="1" applyFill="1" applyBorder="1" applyAlignment="1">
      <alignment wrapText="1"/>
    </xf>
    <xf numFmtId="1" fontId="4" fillId="0" borderId="53" xfId="7" applyNumberFormat="1" applyFont="1" applyFill="1" applyBorder="1" applyAlignment="1">
      <alignment horizontal="right"/>
    </xf>
    <xf numFmtId="165" fontId="4" fillId="0" borderId="29" xfId="7" applyNumberFormat="1" applyFont="1" applyFill="1" applyBorder="1"/>
    <xf numFmtId="165" fontId="4" fillId="0" borderId="61" xfId="7" applyNumberFormat="1" applyFont="1" applyFill="1" applyBorder="1"/>
    <xf numFmtId="0" fontId="2" fillId="0" borderId="61" xfId="8" applyFont="1" applyFill="1" applyBorder="1"/>
    <xf numFmtId="0" fontId="2" fillId="0" borderId="80" xfId="8" applyFont="1" applyFill="1" applyBorder="1"/>
    <xf numFmtId="165" fontId="5" fillId="0" borderId="22" xfId="7" applyNumberFormat="1" applyFont="1" applyFill="1" applyBorder="1"/>
    <xf numFmtId="1" fontId="5" fillId="0" borderId="92" xfId="7" applyNumberFormat="1" applyFont="1" applyFill="1" applyBorder="1" applyAlignment="1">
      <alignment horizontal="right"/>
    </xf>
    <xf numFmtId="165" fontId="4" fillId="0" borderId="46" xfId="7" applyNumberFormat="1" applyFont="1" applyFill="1" applyBorder="1" applyAlignment="1">
      <alignment horizontal="right"/>
    </xf>
    <xf numFmtId="165" fontId="4" fillId="0" borderId="22" xfId="7" applyNumberFormat="1" applyFont="1" applyFill="1" applyBorder="1"/>
    <xf numFmtId="165" fontId="4" fillId="0" borderId="92" xfId="7" applyNumberFormat="1" applyFont="1" applyFill="1" applyBorder="1" applyAlignment="1">
      <alignment horizontal="right"/>
    </xf>
    <xf numFmtId="165" fontId="4" fillId="0" borderId="73" xfId="7" applyNumberFormat="1" applyFont="1" applyFill="1" applyBorder="1"/>
    <xf numFmtId="165" fontId="22" fillId="0" borderId="91" xfId="7" applyNumberFormat="1" applyFont="1" applyFill="1" applyBorder="1"/>
    <xf numFmtId="165" fontId="22" fillId="0" borderId="53" xfId="7" applyNumberFormat="1" applyFont="1" applyFill="1" applyBorder="1"/>
    <xf numFmtId="165" fontId="5" fillId="0" borderId="12" xfId="7" applyNumberFormat="1" applyFont="1" applyFill="1" applyBorder="1" applyAlignment="1">
      <alignment horizontal="center"/>
    </xf>
    <xf numFmtId="0" fontId="2" fillId="0" borderId="0" xfId="8" applyFont="1"/>
    <xf numFmtId="0" fontId="2" fillId="0" borderId="0" xfId="8" applyFont="1" applyFill="1"/>
    <xf numFmtId="0" fontId="5" fillId="0" borderId="0" xfId="8" applyFont="1" applyFill="1"/>
    <xf numFmtId="49" fontId="5" fillId="0" borderId="12" xfId="7" applyNumberFormat="1" applyFont="1" applyFill="1" applyBorder="1" applyAlignment="1">
      <alignment horizontal="left"/>
    </xf>
    <xf numFmtId="1" fontId="5" fillId="0" borderId="13" xfId="7" applyNumberFormat="1" applyFont="1" applyFill="1" applyBorder="1"/>
    <xf numFmtId="1" fontId="5" fillId="0" borderId="22" xfId="7" applyNumberFormat="1" applyFont="1" applyFill="1" applyBorder="1"/>
    <xf numFmtId="0" fontId="18" fillId="0" borderId="24" xfId="3" applyFont="1" applyBorder="1" applyAlignment="1">
      <alignment horizontal="center" vertical="center" textRotation="90"/>
    </xf>
    <xf numFmtId="0" fontId="18" fillId="0" borderId="25" xfId="3" applyFont="1" applyBorder="1" applyAlignment="1">
      <alignment horizontal="center" vertical="center" textRotation="90"/>
    </xf>
    <xf numFmtId="165" fontId="5" fillId="0" borderId="53" xfId="7" applyNumberFormat="1" applyFont="1" applyFill="1" applyBorder="1" applyAlignment="1">
      <alignment horizontal="left" vertical="top" wrapText="1"/>
    </xf>
    <xf numFmtId="1" fontId="5" fillId="0" borderId="46" xfId="7" applyNumberFormat="1" applyFont="1" applyFill="1" applyBorder="1"/>
    <xf numFmtId="1" fontId="5" fillId="0" borderId="80" xfId="7" applyNumberFormat="1" applyFont="1" applyFill="1" applyBorder="1"/>
    <xf numFmtId="1" fontId="5" fillId="0" borderId="92" xfId="7" applyNumberFormat="1" applyFont="1" applyFill="1" applyBorder="1"/>
    <xf numFmtId="1" fontId="5" fillId="0" borderId="79" xfId="7" applyNumberFormat="1" applyFont="1" applyFill="1" applyBorder="1"/>
    <xf numFmtId="1" fontId="4" fillId="0" borderId="46" xfId="7" applyNumberFormat="1" applyFont="1" applyFill="1" applyBorder="1"/>
    <xf numFmtId="49" fontId="5" fillId="0" borderId="53" xfId="7" applyNumberFormat="1" applyFont="1" applyFill="1" applyBorder="1" applyAlignment="1">
      <alignment horizontal="left" vertical="top" wrapText="1"/>
    </xf>
    <xf numFmtId="1" fontId="15" fillId="0" borderId="53" xfId="7" applyNumberFormat="1" applyFont="1" applyFill="1" applyBorder="1"/>
    <xf numFmtId="1" fontId="15" fillId="0" borderId="46" xfId="7" applyNumberFormat="1" applyFont="1" applyFill="1" applyBorder="1"/>
    <xf numFmtId="165" fontId="5" fillId="0" borderId="92" xfId="7" applyNumberFormat="1" applyFont="1" applyFill="1" applyBorder="1"/>
    <xf numFmtId="1" fontId="5" fillId="0" borderId="53" xfId="7" applyNumberFormat="1" applyFont="1" applyFill="1" applyBorder="1" applyAlignment="1">
      <alignment horizontal="center"/>
    </xf>
    <xf numFmtId="0" fontId="5" fillId="0" borderId="72" xfId="0" applyNumberFormat="1" applyFont="1" applyFill="1" applyBorder="1" applyAlignment="1">
      <alignment vertical="center"/>
    </xf>
    <xf numFmtId="0" fontId="2" fillId="0" borderId="53" xfId="8" applyFont="1" applyFill="1" applyBorder="1"/>
    <xf numFmtId="165" fontId="5" fillId="0" borderId="53" xfId="7" applyNumberFormat="1" applyFont="1" applyFill="1" applyBorder="1" applyAlignment="1">
      <alignment wrapText="1"/>
    </xf>
    <xf numFmtId="165" fontId="4" fillId="0" borderId="55" xfId="7" applyNumberFormat="1" applyFont="1" applyFill="1" applyBorder="1"/>
    <xf numFmtId="1" fontId="5" fillId="4" borderId="53" xfId="7" applyNumberFormat="1" applyFont="1" applyFill="1" applyBorder="1" applyAlignment="1">
      <alignment wrapText="1"/>
    </xf>
    <xf numFmtId="165" fontId="5" fillId="0" borderId="13" xfId="7" applyNumberFormat="1" applyFont="1" applyFill="1" applyBorder="1" applyAlignment="1">
      <alignment horizontal="right"/>
    </xf>
    <xf numFmtId="49" fontId="5" fillId="0" borderId="13" xfId="7" applyNumberFormat="1" applyFont="1" applyFill="1" applyBorder="1" applyAlignment="1">
      <alignment horizontal="center"/>
    </xf>
    <xf numFmtId="49" fontId="5" fillId="0" borderId="12" xfId="7" applyNumberFormat="1" applyFont="1" applyFill="1" applyBorder="1" applyAlignment="1">
      <alignment horizontal="center"/>
    </xf>
    <xf numFmtId="0" fontId="2" fillId="0" borderId="0" xfId="8" applyFont="1" applyFill="1" applyBorder="1"/>
    <xf numFmtId="165" fontId="4" fillId="0" borderId="41" xfId="7" applyNumberFormat="1" applyFont="1" applyFill="1" applyBorder="1"/>
    <xf numFmtId="0" fontId="2" fillId="0" borderId="0" xfId="8" applyFont="1" applyFill="1"/>
    <xf numFmtId="49" fontId="5" fillId="0" borderId="0" xfId="7" applyNumberFormat="1" applyFont="1" applyFill="1" applyBorder="1" applyAlignment="1">
      <alignment horizontal="left"/>
    </xf>
    <xf numFmtId="1" fontId="5" fillId="0" borderId="23" xfId="7" applyNumberFormat="1" applyFont="1" applyFill="1" applyBorder="1"/>
    <xf numFmtId="0" fontId="2" fillId="0" borderId="0" xfId="8" applyFont="1" applyFill="1"/>
    <xf numFmtId="1" fontId="4" fillId="0" borderId="22" xfId="7" applyNumberFormat="1" applyFont="1" applyFill="1" applyBorder="1"/>
    <xf numFmtId="1" fontId="4" fillId="0" borderId="92" xfId="7" applyNumberFormat="1" applyFont="1" applyFill="1" applyBorder="1"/>
    <xf numFmtId="165" fontId="4" fillId="0" borderId="42" xfId="7" applyNumberFormat="1" applyFont="1" applyFill="1" applyBorder="1"/>
    <xf numFmtId="1" fontId="5" fillId="0" borderId="53" xfId="0" applyNumberFormat="1" applyFont="1" applyFill="1" applyBorder="1" applyAlignment="1">
      <alignment horizontal="right"/>
    </xf>
    <xf numFmtId="1" fontId="5" fillId="0" borderId="46" xfId="0" applyNumberFormat="1" applyFont="1" applyFill="1" applyBorder="1" applyAlignment="1">
      <alignment horizontal="right"/>
    </xf>
    <xf numFmtId="49" fontId="5" fillId="0" borderId="29" xfId="0" applyNumberFormat="1" applyFont="1" applyFill="1" applyBorder="1" applyAlignment="1">
      <alignment horizontal="left" vertical="center"/>
    </xf>
    <xf numFmtId="1" fontId="5" fillId="0" borderId="53" xfId="0" applyNumberFormat="1" applyFont="1" applyFill="1" applyBorder="1" applyAlignment="1">
      <alignment horizontal="left" wrapText="1"/>
    </xf>
    <xf numFmtId="49" fontId="5" fillId="4" borderId="53" xfId="7" applyNumberFormat="1" applyFont="1" applyFill="1" applyBorder="1" applyAlignment="1">
      <alignment horizontal="left" wrapText="1"/>
    </xf>
    <xf numFmtId="1" fontId="5" fillId="0" borderId="80" xfId="0" applyNumberFormat="1" applyFont="1" applyFill="1" applyBorder="1" applyAlignment="1">
      <alignment horizontal="right"/>
    </xf>
    <xf numFmtId="1" fontId="5" fillId="0" borderId="53" xfId="0" applyNumberFormat="1" applyFont="1" applyFill="1" applyBorder="1" applyAlignment="1">
      <alignment horizontal="left"/>
    </xf>
    <xf numFmtId="1" fontId="5" fillId="4" borderId="46" xfId="0" applyNumberFormat="1" applyFont="1" applyFill="1" applyBorder="1" applyAlignment="1">
      <alignment horizontal="right"/>
    </xf>
    <xf numFmtId="1" fontId="5" fillId="0" borderId="53" xfId="0" applyNumberFormat="1" applyFont="1" applyFill="1" applyBorder="1" applyAlignment="1"/>
    <xf numFmtId="1" fontId="5" fillId="0" borderId="22" xfId="0" applyNumberFormat="1" applyFont="1" applyFill="1" applyBorder="1" applyAlignment="1"/>
    <xf numFmtId="1" fontId="5" fillId="0" borderId="92" xfId="0" applyNumberFormat="1" applyFont="1" applyFill="1" applyBorder="1" applyAlignment="1">
      <alignment horizontal="right"/>
    </xf>
    <xf numFmtId="49" fontId="5" fillId="0" borderId="53" xfId="7" applyNumberFormat="1" applyFont="1" applyFill="1" applyBorder="1" applyAlignment="1">
      <alignment horizontal="right" wrapText="1"/>
    </xf>
    <xf numFmtId="49" fontId="5" fillId="0" borderId="46" xfId="7" applyNumberFormat="1" applyFont="1" applyFill="1" applyBorder="1" applyAlignment="1">
      <alignment horizontal="right" wrapText="1"/>
    </xf>
    <xf numFmtId="49" fontId="5" fillId="0" borderId="53" xfId="7" applyNumberFormat="1" applyFont="1" applyFill="1" applyBorder="1" applyAlignment="1"/>
    <xf numFmtId="49" fontId="5" fillId="0" borderId="53" xfId="7" applyNumberFormat="1" applyFont="1" applyFill="1" applyBorder="1" applyAlignment="1">
      <alignment wrapText="1"/>
    </xf>
    <xf numFmtId="49" fontId="5" fillId="0" borderId="58" xfId="7" applyNumberFormat="1" applyFont="1" applyFill="1" applyBorder="1" applyAlignment="1">
      <alignment horizontal="center"/>
    </xf>
    <xf numFmtId="165" fontId="5" fillId="0" borderId="58" xfId="7" applyNumberFormat="1" applyFont="1" applyFill="1" applyBorder="1" applyAlignment="1">
      <alignment horizontal="right"/>
    </xf>
    <xf numFmtId="49" fontId="5" fillId="0" borderId="87" xfId="7" applyNumberFormat="1" applyFont="1" applyFill="1" applyBorder="1" applyAlignment="1">
      <alignment horizontal="left"/>
    </xf>
    <xf numFmtId="49" fontId="5" fillId="0" borderId="54" xfId="7" applyNumberFormat="1" applyFont="1" applyFill="1" applyBorder="1" applyAlignment="1">
      <alignment horizontal="left"/>
    </xf>
    <xf numFmtId="165" fontId="5" fillId="0" borderId="24" xfId="7" applyNumberFormat="1" applyFont="1" applyFill="1" applyBorder="1" applyAlignment="1">
      <alignment wrapText="1"/>
    </xf>
    <xf numFmtId="49" fontId="5" fillId="0" borderId="24" xfId="0" applyNumberFormat="1" applyFont="1" applyFill="1" applyBorder="1" applyAlignment="1">
      <alignment horizontal="left" vertical="center"/>
    </xf>
    <xf numFmtId="165" fontId="5" fillId="0" borderId="12" xfId="7" applyNumberFormat="1" applyFont="1" applyFill="1" applyBorder="1" applyAlignment="1">
      <alignment horizontal="right"/>
    </xf>
    <xf numFmtId="165" fontId="5" fillId="0" borderId="13" xfId="7" applyNumberFormat="1" applyFont="1" applyFill="1" applyBorder="1" applyAlignment="1">
      <alignment horizontal="right"/>
    </xf>
    <xf numFmtId="49" fontId="5" fillId="0" borderId="22" xfId="7" applyNumberFormat="1" applyFont="1" applyFill="1" applyBorder="1" applyAlignment="1">
      <alignment horizontal="left"/>
    </xf>
    <xf numFmtId="1" fontId="5" fillId="0" borderId="46" xfId="7" applyNumberFormat="1" applyFont="1" applyFill="1" applyBorder="1" applyAlignment="1">
      <alignment horizontal="center"/>
    </xf>
    <xf numFmtId="1" fontId="5" fillId="0" borderId="13" xfId="7" applyNumberFormat="1" applyFont="1" applyFill="1" applyBorder="1" applyAlignment="1">
      <alignment horizontal="center"/>
    </xf>
    <xf numFmtId="1" fontId="5" fillId="0" borderId="12" xfId="7" applyNumberFormat="1" applyFont="1" applyFill="1" applyBorder="1" applyAlignment="1">
      <alignment horizontal="center"/>
    </xf>
    <xf numFmtId="1" fontId="5" fillId="0" borderId="57" xfId="7" applyNumberFormat="1" applyFont="1" applyFill="1" applyBorder="1" applyAlignment="1">
      <alignment horizontal="center"/>
    </xf>
    <xf numFmtId="1" fontId="5" fillId="0" borderId="80" xfId="7" applyNumberFormat="1" applyFont="1" applyFill="1" applyBorder="1" applyAlignment="1">
      <alignment horizontal="center"/>
    </xf>
    <xf numFmtId="1" fontId="5" fillId="0" borderId="22" xfId="7" applyNumberFormat="1" applyFont="1" applyFill="1" applyBorder="1" applyAlignment="1">
      <alignment horizontal="center"/>
    </xf>
    <xf numFmtId="1" fontId="5" fillId="0" borderId="92" xfId="7" applyNumberFormat="1" applyFont="1" applyFill="1" applyBorder="1" applyAlignment="1">
      <alignment horizontal="center"/>
    </xf>
    <xf numFmtId="1" fontId="5" fillId="4" borderId="53" xfId="7" applyNumberFormat="1" applyFont="1" applyFill="1" applyBorder="1" applyAlignment="1">
      <alignment horizontal="center"/>
    </xf>
    <xf numFmtId="1" fontId="5" fillId="4" borderId="46" xfId="7" applyNumberFormat="1" applyFont="1" applyFill="1" applyBorder="1" applyAlignment="1">
      <alignment horizontal="center"/>
    </xf>
    <xf numFmtId="165" fontId="5" fillId="0" borderId="53" xfId="7" applyNumberFormat="1" applyFont="1" applyFill="1" applyBorder="1" applyAlignment="1">
      <alignment horizontal="center"/>
    </xf>
    <xf numFmtId="165" fontId="5" fillId="0" borderId="46" xfId="7" applyNumberFormat="1" applyFont="1" applyFill="1" applyBorder="1" applyAlignment="1">
      <alignment horizontal="center"/>
    </xf>
    <xf numFmtId="1" fontId="4" fillId="0" borderId="53" xfId="7" applyNumberFormat="1" applyFont="1" applyFill="1" applyBorder="1" applyAlignment="1">
      <alignment horizontal="center"/>
    </xf>
    <xf numFmtId="1" fontId="4" fillId="0" borderId="46" xfId="7" applyNumberFormat="1" applyFont="1" applyFill="1" applyBorder="1" applyAlignment="1">
      <alignment horizontal="center"/>
    </xf>
    <xf numFmtId="1" fontId="5" fillId="0" borderId="71" xfId="7" applyNumberFormat="1" applyFont="1" applyFill="1" applyBorder="1" applyAlignment="1">
      <alignment horizontal="center"/>
    </xf>
    <xf numFmtId="1" fontId="5" fillId="0" borderId="79" xfId="7" applyNumberFormat="1" applyFont="1" applyFill="1" applyBorder="1" applyAlignment="1">
      <alignment horizontal="center"/>
    </xf>
    <xf numFmtId="1" fontId="5" fillId="4" borderId="22" xfId="7" applyNumberFormat="1" applyFont="1" applyFill="1" applyBorder="1" applyAlignment="1">
      <alignment horizontal="center"/>
    </xf>
    <xf numFmtId="1" fontId="5" fillId="4" borderId="92" xfId="7" applyNumberFormat="1" applyFont="1" applyFill="1" applyBorder="1" applyAlignment="1">
      <alignment horizontal="center"/>
    </xf>
    <xf numFmtId="1" fontId="4" fillId="0" borderId="34" xfId="7" applyNumberFormat="1" applyFont="1" applyFill="1" applyBorder="1" applyAlignment="1">
      <alignment horizontal="center"/>
    </xf>
    <xf numFmtId="1" fontId="4" fillId="0" borderId="37" xfId="7" applyNumberFormat="1" applyFont="1" applyFill="1" applyBorder="1" applyAlignment="1">
      <alignment horizontal="center"/>
    </xf>
    <xf numFmtId="1" fontId="4" fillId="0" borderId="0" xfId="7" applyNumberFormat="1" applyFont="1" applyFill="1" applyBorder="1" applyAlignment="1">
      <alignment horizontal="center"/>
    </xf>
    <xf numFmtId="1" fontId="5" fillId="0" borderId="2" xfId="7" applyNumberFormat="1" applyFont="1" applyFill="1" applyBorder="1" applyAlignment="1">
      <alignment horizontal="center"/>
    </xf>
    <xf numFmtId="1" fontId="5" fillId="0" borderId="0" xfId="8" applyNumberFormat="1" applyFont="1" applyFill="1" applyAlignment="1">
      <alignment horizontal="center"/>
    </xf>
    <xf numFmtId="0" fontId="2" fillId="4" borderId="0" xfId="8" applyFont="1" applyFill="1" applyAlignment="1">
      <alignment horizontal="center"/>
    </xf>
    <xf numFmtId="0" fontId="18" fillId="4" borderId="0" xfId="3" applyFont="1" applyFill="1" applyAlignment="1">
      <alignment horizontal="center" vertical="top" wrapText="1"/>
    </xf>
    <xf numFmtId="0" fontId="3" fillId="4" borderId="0" xfId="3" applyFont="1" applyFill="1" applyAlignment="1">
      <alignment horizontal="center" vertical="top" wrapText="1"/>
    </xf>
    <xf numFmtId="0" fontId="18" fillId="4" borderId="0" xfId="3" applyFont="1" applyFill="1" applyAlignment="1">
      <alignment horizontal="center" vertical="top"/>
    </xf>
    <xf numFmtId="1" fontId="4" fillId="4" borderId="71" xfId="7" applyNumberFormat="1" applyFont="1" applyFill="1" applyBorder="1" applyAlignment="1">
      <alignment horizontal="center"/>
    </xf>
    <xf numFmtId="1" fontId="4" fillId="4" borderId="79" xfId="7" applyNumberFormat="1" applyFont="1" applyFill="1" applyBorder="1" applyAlignment="1">
      <alignment horizontal="center"/>
    </xf>
    <xf numFmtId="165" fontId="5" fillId="4" borderId="58" xfId="7" applyNumberFormat="1" applyFont="1" applyFill="1" applyBorder="1" applyAlignment="1">
      <alignment horizontal="center"/>
    </xf>
    <xf numFmtId="165" fontId="5" fillId="4" borderId="59" xfId="7" applyNumberFormat="1" applyFont="1" applyFill="1" applyBorder="1" applyAlignment="1">
      <alignment horizontal="center"/>
    </xf>
    <xf numFmtId="165" fontId="5" fillId="4" borderId="13" xfId="7" applyNumberFormat="1" applyFont="1" applyFill="1" applyBorder="1" applyAlignment="1">
      <alignment horizontal="center"/>
    </xf>
    <xf numFmtId="165" fontId="5" fillId="4" borderId="56" xfId="7" applyNumberFormat="1" applyFont="1" applyFill="1" applyBorder="1" applyAlignment="1">
      <alignment horizontal="center"/>
    </xf>
    <xf numFmtId="1" fontId="5" fillId="4" borderId="0" xfId="8" applyNumberFormat="1" applyFont="1" applyFill="1" applyAlignment="1">
      <alignment horizontal="center"/>
    </xf>
    <xf numFmtId="0" fontId="20" fillId="4" borderId="0" xfId="8" applyFont="1" applyFill="1" applyAlignment="1">
      <alignment horizontal="center"/>
    </xf>
    <xf numFmtId="165" fontId="20" fillId="4" borderId="0" xfId="8" applyNumberFormat="1" applyFont="1" applyFill="1" applyAlignment="1">
      <alignment horizontal="center"/>
    </xf>
    <xf numFmtId="0" fontId="12" fillId="4" borderId="0" xfId="8" applyFont="1" applyFill="1" applyAlignment="1">
      <alignment horizontal="center"/>
    </xf>
    <xf numFmtId="165" fontId="14" fillId="0" borderId="46" xfId="3" applyNumberFormat="1" applyFont="1" applyFill="1" applyBorder="1" applyAlignment="1">
      <alignment horizontal="center" vertical="center" wrapText="1"/>
    </xf>
    <xf numFmtId="0" fontId="14" fillId="0" borderId="53" xfId="3" applyFont="1" applyFill="1" applyBorder="1" applyAlignment="1">
      <alignment horizontal="center" vertical="center" wrapText="1"/>
    </xf>
    <xf numFmtId="165" fontId="4" fillId="0" borderId="53" xfId="7" applyNumberFormat="1" applyFont="1" applyFill="1" applyBorder="1" applyAlignment="1">
      <alignment horizontal="center"/>
    </xf>
    <xf numFmtId="165" fontId="4" fillId="0" borderId="46" xfId="7" applyNumberFormat="1" applyFont="1" applyFill="1" applyBorder="1" applyAlignment="1">
      <alignment horizontal="center"/>
    </xf>
    <xf numFmtId="1" fontId="12" fillId="0" borderId="0" xfId="8" applyNumberFormat="1" applyFont="1" applyAlignment="1">
      <alignment horizontal="center"/>
    </xf>
    <xf numFmtId="1" fontId="5" fillId="0" borderId="23" xfId="7" applyNumberFormat="1" applyFont="1" applyFill="1" applyBorder="1" applyAlignment="1">
      <alignment horizontal="center"/>
    </xf>
    <xf numFmtId="1" fontId="5" fillId="0" borderId="24" xfId="7" applyNumberFormat="1" applyFont="1" applyFill="1" applyBorder="1" applyAlignment="1">
      <alignment horizontal="center"/>
    </xf>
    <xf numFmtId="1" fontId="5" fillId="0" borderId="25" xfId="7" applyNumberFormat="1" applyFont="1" applyFill="1" applyBorder="1" applyAlignment="1">
      <alignment horizontal="center"/>
    </xf>
    <xf numFmtId="165" fontId="5" fillId="0" borderId="57" xfId="7" applyNumberFormat="1" applyFont="1" applyFill="1" applyBorder="1" applyAlignment="1">
      <alignment horizontal="center"/>
    </xf>
    <xf numFmtId="1" fontId="4" fillId="0" borderId="22" xfId="7" applyNumberFormat="1" applyFont="1" applyFill="1" applyBorder="1" applyAlignment="1">
      <alignment horizontal="center"/>
    </xf>
    <xf numFmtId="1" fontId="4" fillId="0" borderId="92" xfId="7" applyNumberFormat="1" applyFont="1" applyFill="1" applyBorder="1" applyAlignment="1">
      <alignment horizontal="center"/>
    </xf>
    <xf numFmtId="1" fontId="5" fillId="0" borderId="0" xfId="8" applyNumberFormat="1" applyFont="1" applyAlignment="1">
      <alignment horizontal="center"/>
    </xf>
    <xf numFmtId="49" fontId="5" fillId="0" borderId="54" xfId="7" applyNumberFormat="1" applyFont="1" applyFill="1" applyBorder="1" applyAlignment="1">
      <alignment horizontal="center"/>
    </xf>
    <xf numFmtId="0" fontId="2" fillId="0" borderId="45" xfId="8" applyFont="1" applyFill="1" applyBorder="1"/>
    <xf numFmtId="165" fontId="5" fillId="0" borderId="24" xfId="7" applyNumberFormat="1" applyFont="1" applyFill="1" applyBorder="1" applyAlignment="1">
      <alignment horizontal="center"/>
    </xf>
    <xf numFmtId="165" fontId="5" fillId="0" borderId="25" xfId="7" applyNumberFormat="1" applyFont="1" applyFill="1" applyBorder="1" applyAlignment="1">
      <alignment horizontal="center"/>
    </xf>
    <xf numFmtId="1" fontId="5" fillId="4" borderId="34" xfId="7" applyNumberFormat="1" applyFont="1" applyFill="1" applyBorder="1" applyAlignment="1">
      <alignment horizontal="center"/>
    </xf>
    <xf numFmtId="1" fontId="5" fillId="4" borderId="37" xfId="7" applyNumberFormat="1" applyFont="1" applyFill="1" applyBorder="1" applyAlignment="1">
      <alignment horizontal="center"/>
    </xf>
    <xf numFmtId="1" fontId="15" fillId="4" borderId="53" xfId="7" applyNumberFormat="1" applyFont="1" applyFill="1" applyBorder="1"/>
    <xf numFmtId="1" fontId="15" fillId="4" borderId="46" xfId="7" applyNumberFormat="1" applyFont="1" applyFill="1" applyBorder="1"/>
    <xf numFmtId="1" fontId="5" fillId="0" borderId="80" xfId="7" applyNumberFormat="1" applyFont="1" applyFill="1" applyBorder="1" applyAlignment="1">
      <alignment horizontal="right"/>
    </xf>
    <xf numFmtId="0" fontId="2" fillId="0" borderId="0" xfId="8" applyFont="1" applyFill="1"/>
    <xf numFmtId="0" fontId="2" fillId="0" borderId="0" xfId="8" applyFont="1" applyFill="1"/>
    <xf numFmtId="1" fontId="5" fillId="4" borderId="71" xfId="7" applyNumberFormat="1" applyFont="1" applyFill="1" applyBorder="1" applyAlignment="1">
      <alignment wrapText="1"/>
    </xf>
    <xf numFmtId="1" fontId="5" fillId="4" borderId="71" xfId="7" applyNumberFormat="1" applyFont="1" applyFill="1" applyBorder="1"/>
    <xf numFmtId="1" fontId="5" fillId="4" borderId="79" xfId="7" applyNumberFormat="1" applyFont="1" applyFill="1" applyBorder="1"/>
    <xf numFmtId="1" fontId="5" fillId="4" borderId="2" xfId="7" applyNumberFormat="1" applyFont="1" applyFill="1" applyBorder="1" applyAlignment="1">
      <alignment horizontal="right"/>
    </xf>
    <xf numFmtId="1" fontId="5" fillId="0" borderId="2" xfId="7" applyNumberFormat="1" applyFont="1" applyFill="1" applyBorder="1" applyAlignment="1">
      <alignment horizontal="right"/>
    </xf>
    <xf numFmtId="0" fontId="2" fillId="0" borderId="0" xfId="8" applyFont="1" applyFill="1"/>
    <xf numFmtId="0" fontId="2" fillId="0" borderId="0" xfId="8" applyFont="1" applyFill="1"/>
    <xf numFmtId="165" fontId="5" fillId="0" borderId="2" xfId="7" applyNumberFormat="1" applyFont="1" applyFill="1" applyBorder="1"/>
    <xf numFmtId="1" fontId="5" fillId="0" borderId="2" xfId="7" applyNumberFormat="1" applyFont="1" applyFill="1" applyBorder="1"/>
    <xf numFmtId="0" fontId="2" fillId="0" borderId="0" xfId="8" applyFont="1" applyFill="1"/>
    <xf numFmtId="49" fontId="5" fillId="0" borderId="69" xfId="7" applyNumberFormat="1" applyFont="1" applyFill="1" applyBorder="1" applyAlignment="1">
      <alignment horizontal="center" vertical="center" textRotation="90" wrapText="1"/>
    </xf>
    <xf numFmtId="49" fontId="5" fillId="0" borderId="2" xfId="7" applyNumberFormat="1" applyFont="1" applyFill="1" applyBorder="1" applyAlignment="1">
      <alignment horizontal="center" vertical="center"/>
    </xf>
    <xf numFmtId="0" fontId="5" fillId="0" borderId="12" xfId="0" applyFont="1" applyFill="1" applyBorder="1" applyAlignment="1">
      <alignment horizontal="left"/>
    </xf>
    <xf numFmtId="49" fontId="5" fillId="0" borderId="72" xfId="7" applyNumberFormat="1" applyFont="1" applyFill="1" applyBorder="1" applyAlignment="1">
      <alignment horizontal="left"/>
    </xf>
    <xf numFmtId="165" fontId="5" fillId="0" borderId="2" xfId="7" applyNumberFormat="1" applyFont="1" applyFill="1" applyBorder="1" applyAlignment="1">
      <alignment horizontal="center" vertical="center"/>
    </xf>
    <xf numFmtId="0" fontId="5" fillId="0" borderId="16" xfId="0" applyNumberFormat="1" applyFont="1" applyFill="1" applyBorder="1" applyAlignment="1">
      <alignment horizontal="left" vertical="center" wrapText="1"/>
    </xf>
    <xf numFmtId="49" fontId="5" fillId="0" borderId="16" xfId="0" applyNumberFormat="1" applyFont="1" applyFill="1" applyBorder="1" applyAlignment="1">
      <alignment horizontal="left" vertical="center" wrapText="1"/>
    </xf>
    <xf numFmtId="0" fontId="5" fillId="0" borderId="31" xfId="0" applyFont="1" applyFill="1" applyBorder="1" applyAlignment="1">
      <alignment horizontal="left" wrapText="1"/>
    </xf>
    <xf numFmtId="1" fontId="5" fillId="4" borderId="13" xfId="7" applyNumberFormat="1" applyFont="1" applyFill="1" applyBorder="1" applyAlignment="1">
      <alignment horizontal="right"/>
    </xf>
    <xf numFmtId="1" fontId="5" fillId="0" borderId="61" xfId="7" applyNumberFormat="1" applyFont="1" applyFill="1" applyBorder="1" applyAlignment="1">
      <alignment horizontal="right"/>
    </xf>
    <xf numFmtId="1" fontId="0" fillId="0" borderId="0" xfId="0" applyNumberFormat="1"/>
    <xf numFmtId="165" fontId="2" fillId="0" borderId="2" xfId="0" applyNumberFormat="1" applyFont="1" applyFill="1" applyBorder="1" applyAlignment="1">
      <alignment vertical="center" wrapText="1"/>
    </xf>
    <xf numFmtId="1" fontId="5" fillId="4" borderId="71" xfId="7" applyNumberFormat="1" applyFont="1" applyFill="1" applyBorder="1" applyAlignment="1">
      <alignment horizontal="center"/>
    </xf>
    <xf numFmtId="165" fontId="5" fillId="0" borderId="12" xfId="7" applyNumberFormat="1" applyFont="1" applyFill="1" applyBorder="1" applyAlignment="1">
      <alignment horizontal="right"/>
    </xf>
    <xf numFmtId="49" fontId="5" fillId="0" borderId="2" xfId="7" applyNumberFormat="1" applyFont="1" applyFill="1" applyBorder="1" applyAlignment="1">
      <alignment horizontal="center"/>
    </xf>
    <xf numFmtId="165" fontId="5" fillId="0" borderId="2" xfId="7" applyNumberFormat="1" applyFont="1" applyFill="1" applyBorder="1" applyAlignment="1">
      <alignment horizontal="right"/>
    </xf>
    <xf numFmtId="49" fontId="5" fillId="0" borderId="2" xfId="0" applyNumberFormat="1" applyFont="1" applyFill="1" applyBorder="1" applyAlignment="1">
      <alignment horizontal="left" vertical="center"/>
    </xf>
    <xf numFmtId="1" fontId="5" fillId="4" borderId="92" xfId="7" applyNumberFormat="1" applyFont="1" applyFill="1" applyBorder="1" applyAlignment="1">
      <alignment horizontal="right"/>
    </xf>
    <xf numFmtId="1" fontId="5" fillId="4" borderId="22" xfId="7" applyNumberFormat="1" applyFont="1" applyFill="1" applyBorder="1" applyAlignment="1">
      <alignment horizontal="right"/>
    </xf>
    <xf numFmtId="3" fontId="5" fillId="0" borderId="53" xfId="1" applyNumberFormat="1" applyFont="1" applyFill="1" applyBorder="1" applyAlignment="1">
      <alignment horizontal="left" vertical="top" wrapText="1"/>
    </xf>
    <xf numFmtId="3" fontId="5" fillId="0" borderId="71" xfId="1" applyNumberFormat="1" applyFont="1" applyFill="1" applyBorder="1" applyAlignment="1">
      <alignment horizontal="left" vertical="top" wrapText="1"/>
    </xf>
    <xf numFmtId="49" fontId="5" fillId="0" borderId="16" xfId="0" applyNumberFormat="1" applyFont="1" applyFill="1" applyBorder="1" applyAlignment="1">
      <alignment vertical="center" wrapText="1"/>
    </xf>
    <xf numFmtId="49" fontId="5" fillId="0" borderId="26" xfId="0" applyNumberFormat="1" applyFont="1" applyFill="1" applyBorder="1" applyAlignment="1">
      <alignment vertical="center" wrapText="1"/>
    </xf>
    <xf numFmtId="1" fontId="5" fillId="0" borderId="73" xfId="7" applyNumberFormat="1" applyFont="1" applyFill="1" applyBorder="1" applyAlignment="1">
      <alignment horizontal="left" vertical="top" wrapText="1"/>
    </xf>
    <xf numFmtId="1" fontId="5" fillId="4" borderId="61" xfId="7" applyNumberFormat="1" applyFont="1" applyFill="1" applyBorder="1" applyAlignment="1">
      <alignment horizontal="right"/>
    </xf>
    <xf numFmtId="1" fontId="5" fillId="4" borderId="80" xfId="7" applyNumberFormat="1" applyFont="1" applyFill="1" applyBorder="1" applyAlignment="1">
      <alignment horizontal="right"/>
    </xf>
    <xf numFmtId="49" fontId="5" fillId="0" borderId="2" xfId="0" applyNumberFormat="1" applyFont="1" applyFill="1" applyBorder="1" applyAlignment="1">
      <alignment horizontal="left" vertical="center"/>
    </xf>
    <xf numFmtId="1" fontId="5" fillId="0" borderId="71" xfId="7" applyNumberFormat="1" applyFont="1" applyFill="1" applyBorder="1" applyAlignment="1">
      <alignment horizontal="left" vertical="top" wrapText="1"/>
    </xf>
    <xf numFmtId="1" fontId="5" fillId="0" borderId="79" xfId="7" applyNumberFormat="1" applyFont="1" applyFill="1" applyBorder="1" applyAlignment="1"/>
    <xf numFmtId="1" fontId="5" fillId="0" borderId="71" xfId="7" applyNumberFormat="1" applyFont="1" applyFill="1" applyBorder="1" applyAlignment="1"/>
    <xf numFmtId="1" fontId="5" fillId="0" borderId="22" xfId="7" applyNumberFormat="1" applyFont="1" applyFill="1" applyBorder="1" applyAlignment="1">
      <alignment horizontal="center"/>
    </xf>
    <xf numFmtId="0" fontId="2" fillId="0" borderId="0" xfId="3" applyFont="1" applyFill="1" applyAlignment="1">
      <alignment vertical="top" wrapText="1"/>
    </xf>
    <xf numFmtId="0" fontId="9" fillId="0" borderId="0" xfId="3" applyFont="1" applyFill="1" applyAlignment="1">
      <alignment vertical="top" wrapText="1"/>
    </xf>
    <xf numFmtId="0" fontId="9" fillId="0" borderId="0" xfId="8" applyFont="1" applyFill="1" applyAlignment="1">
      <alignment horizontal="center"/>
    </xf>
    <xf numFmtId="49" fontId="9" fillId="0" borderId="0" xfId="7" applyNumberFormat="1" applyFont="1" applyFill="1" applyBorder="1" applyAlignment="1">
      <alignment horizontal="left"/>
    </xf>
    <xf numFmtId="49" fontId="9" fillId="0" borderId="6" xfId="7" applyNumberFormat="1" applyFont="1" applyFill="1" applyBorder="1" applyAlignment="1">
      <alignment horizontal="right"/>
    </xf>
    <xf numFmtId="49" fontId="2" fillId="0" borderId="6" xfId="7" applyNumberFormat="1" applyFont="1" applyFill="1" applyBorder="1" applyAlignment="1">
      <alignment horizontal="right"/>
    </xf>
    <xf numFmtId="49" fontId="9" fillId="0" borderId="0" xfId="7" applyNumberFormat="1" applyFont="1" applyFill="1" applyBorder="1" applyAlignment="1">
      <alignment horizontal="right"/>
    </xf>
    <xf numFmtId="0" fontId="11" fillId="0" borderId="0" xfId="8" applyFont="1" applyFill="1"/>
    <xf numFmtId="1" fontId="5" fillId="0" borderId="53" xfId="7" applyNumberFormat="1" applyFont="1" applyFill="1" applyBorder="1" applyAlignment="1"/>
    <xf numFmtId="1" fontId="5" fillId="0" borderId="46" xfId="7" applyNumberFormat="1" applyFont="1" applyFill="1" applyBorder="1" applyAlignment="1"/>
    <xf numFmtId="9" fontId="5" fillId="0" borderId="53" xfId="10" applyFont="1" applyFill="1" applyBorder="1" applyAlignment="1"/>
    <xf numFmtId="9" fontId="5" fillId="0" borderId="46" xfId="10" applyFont="1" applyFill="1" applyBorder="1" applyAlignment="1"/>
    <xf numFmtId="49" fontId="5" fillId="0" borderId="71" xfId="7" applyNumberFormat="1" applyFont="1" applyFill="1" applyBorder="1" applyAlignment="1"/>
    <xf numFmtId="1" fontId="4" fillId="0" borderId="22" xfId="7" applyNumberFormat="1" applyFont="1" applyFill="1" applyBorder="1" applyAlignment="1"/>
    <xf numFmtId="165" fontId="4" fillId="0" borderId="91" xfId="7" applyNumberFormat="1" applyFont="1" applyFill="1" applyBorder="1" applyAlignment="1"/>
    <xf numFmtId="165" fontId="4" fillId="0" borderId="53" xfId="7" applyNumberFormat="1" applyFont="1" applyFill="1" applyBorder="1" applyAlignment="1"/>
    <xf numFmtId="165" fontId="4" fillId="0" borderId="69" xfId="7" applyNumberFormat="1" applyFont="1" applyFill="1" applyBorder="1" applyAlignment="1"/>
    <xf numFmtId="165" fontId="4" fillId="0" borderId="71" xfId="7" applyNumberFormat="1" applyFont="1" applyFill="1" applyBorder="1" applyAlignment="1"/>
    <xf numFmtId="165" fontId="4" fillId="0" borderId="62" xfId="7" applyNumberFormat="1" applyFont="1" applyFill="1" applyBorder="1" applyAlignment="1"/>
    <xf numFmtId="1" fontId="5" fillId="0" borderId="53" xfId="7" applyNumberFormat="1" applyFont="1" applyFill="1" applyBorder="1" applyAlignment="1">
      <alignment vertical="center"/>
    </xf>
    <xf numFmtId="1" fontId="5" fillId="0" borderId="46" xfId="7" applyNumberFormat="1" applyFont="1" applyFill="1" applyBorder="1" applyAlignment="1">
      <alignment vertical="center"/>
    </xf>
    <xf numFmtId="49" fontId="4" fillId="0" borderId="2" xfId="7" applyNumberFormat="1" applyFont="1" applyFill="1" applyBorder="1" applyAlignment="1">
      <alignment horizontal="left" wrapText="1"/>
    </xf>
    <xf numFmtId="1" fontId="5" fillId="0" borderId="86" xfId="7" applyNumberFormat="1" applyFont="1" applyFill="1" applyBorder="1" applyAlignment="1">
      <alignment wrapText="1"/>
    </xf>
    <xf numFmtId="165" fontId="5" fillId="0" borderId="0" xfId="7" applyNumberFormat="1" applyFont="1" applyFill="1" applyBorder="1" applyAlignment="1">
      <alignment wrapText="1"/>
    </xf>
    <xf numFmtId="165" fontId="22" fillId="0" borderId="72" xfId="7" applyNumberFormat="1" applyFont="1" applyFill="1" applyBorder="1" applyAlignment="1">
      <alignment horizontal="right"/>
    </xf>
    <xf numFmtId="165" fontId="22" fillId="0" borderId="69" xfId="7" applyNumberFormat="1" applyFont="1" applyFill="1" applyBorder="1" applyAlignment="1">
      <alignment horizontal="right"/>
    </xf>
    <xf numFmtId="0" fontId="5" fillId="0" borderId="0" xfId="8" applyFont="1" applyFill="1"/>
    <xf numFmtId="49" fontId="5" fillId="0" borderId="26" xfId="7" applyNumberFormat="1" applyFont="1" applyFill="1" applyBorder="1" applyAlignment="1">
      <alignment horizontal="left"/>
    </xf>
    <xf numFmtId="1" fontId="5" fillId="0" borderId="71" xfId="7" applyNumberFormat="1" applyFont="1" applyFill="1" applyBorder="1"/>
    <xf numFmtId="1" fontId="5" fillId="0" borderId="79" xfId="7" applyNumberFormat="1" applyFont="1" applyFill="1" applyBorder="1"/>
    <xf numFmtId="165" fontId="5" fillId="0" borderId="53" xfId="7" applyNumberFormat="1" applyFont="1" applyFill="1" applyBorder="1"/>
    <xf numFmtId="165" fontId="5" fillId="0" borderId="46" xfId="7" applyNumberFormat="1" applyFont="1" applyFill="1" applyBorder="1"/>
    <xf numFmtId="1" fontId="5" fillId="0" borderId="22" xfId="0" applyNumberFormat="1" applyFont="1" applyFill="1" applyBorder="1" applyAlignment="1">
      <alignment horizontal="right"/>
    </xf>
    <xf numFmtId="49" fontId="5" fillId="0" borderId="2" xfId="7" applyNumberFormat="1" applyFont="1" applyFill="1" applyBorder="1" applyAlignment="1">
      <alignment horizontal="center"/>
    </xf>
    <xf numFmtId="1" fontId="5" fillId="0" borderId="71" xfId="7" applyNumberFormat="1" applyFont="1" applyFill="1" applyBorder="1" applyAlignment="1">
      <alignment wrapText="1"/>
    </xf>
    <xf numFmtId="49" fontId="5" fillId="0" borderId="71" xfId="7" applyNumberFormat="1" applyFont="1" applyFill="1" applyBorder="1" applyAlignment="1">
      <alignment horizontal="right" wrapText="1"/>
    </xf>
    <xf numFmtId="49" fontId="5" fillId="0" borderId="79" xfId="7" applyNumberFormat="1" applyFont="1" applyFill="1" applyBorder="1" applyAlignment="1">
      <alignment horizontal="right" wrapText="1"/>
    </xf>
    <xf numFmtId="49" fontId="5" fillId="0" borderId="71" xfId="7" applyNumberFormat="1" applyFont="1" applyFill="1" applyBorder="1" applyAlignment="1">
      <alignment horizontal="left" wrapText="1"/>
    </xf>
    <xf numFmtId="49" fontId="5" fillId="0" borderId="61" xfId="7" applyNumberFormat="1" applyFont="1" applyFill="1" applyBorder="1" applyAlignment="1">
      <alignment wrapText="1"/>
    </xf>
    <xf numFmtId="1" fontId="5" fillId="0" borderId="61" xfId="0" applyNumberFormat="1" applyFont="1" applyFill="1" applyBorder="1" applyAlignment="1"/>
    <xf numFmtId="1" fontId="5" fillId="0" borderId="86" xfId="0" applyNumberFormat="1" applyFont="1" applyFill="1" applyBorder="1" applyAlignment="1"/>
    <xf numFmtId="165" fontId="5" fillId="0" borderId="67" xfId="7" applyNumberFormat="1" applyFont="1" applyFill="1" applyBorder="1"/>
    <xf numFmtId="10" fontId="5" fillId="0" borderId="53" xfId="10" applyNumberFormat="1" applyFont="1" applyFill="1" applyBorder="1"/>
    <xf numFmtId="10" fontId="5" fillId="0" borderId="46" xfId="10" applyNumberFormat="1" applyFont="1" applyFill="1" applyBorder="1"/>
    <xf numFmtId="167" fontId="5" fillId="0" borderId="90" xfId="10" applyNumberFormat="1" applyFont="1" applyFill="1" applyBorder="1"/>
    <xf numFmtId="0" fontId="5" fillId="0" borderId="12" xfId="0" applyFont="1" applyBorder="1" applyAlignment="1">
      <alignment horizontal="center" vertical="center"/>
    </xf>
    <xf numFmtId="49" fontId="5" fillId="0" borderId="73" xfId="7" applyNumberFormat="1" applyFont="1" applyFill="1" applyBorder="1" applyAlignment="1">
      <alignment horizontal="left"/>
    </xf>
    <xf numFmtId="165" fontId="4" fillId="0" borderId="71" xfId="7" applyNumberFormat="1" applyFont="1" applyFill="1" applyBorder="1"/>
    <xf numFmtId="165" fontId="4" fillId="0" borderId="71" xfId="7" applyNumberFormat="1" applyFont="1" applyFill="1" applyBorder="1" applyAlignment="1">
      <alignment horizontal="center"/>
    </xf>
    <xf numFmtId="165" fontId="4" fillId="0" borderId="79" xfId="7" applyNumberFormat="1" applyFont="1" applyFill="1" applyBorder="1" applyAlignment="1">
      <alignment horizontal="center"/>
    </xf>
    <xf numFmtId="165" fontId="4" fillId="0" borderId="69" xfId="7" applyNumberFormat="1" applyFont="1" applyFill="1" applyBorder="1"/>
    <xf numFmtId="1" fontId="5" fillId="0" borderId="2" xfId="7" applyNumberFormat="1" applyFont="1" applyFill="1" applyBorder="1" applyAlignment="1">
      <alignment horizontal="left" vertical="center" wrapText="1"/>
    </xf>
    <xf numFmtId="1" fontId="5" fillId="0" borderId="61" xfId="7" applyNumberFormat="1" applyFont="1" applyFill="1" applyBorder="1" applyAlignment="1">
      <alignment horizontal="left" vertical="center" wrapText="1"/>
    </xf>
    <xf numFmtId="1" fontId="5" fillId="0" borderId="86" xfId="7" applyNumberFormat="1" applyFont="1" applyFill="1" applyBorder="1"/>
    <xf numFmtId="0" fontId="2" fillId="0" borderId="0" xfId="8" applyFont="1" applyFill="1"/>
    <xf numFmtId="167" fontId="4" fillId="0" borderId="53" xfId="11" applyNumberFormat="1" applyFont="1" applyFill="1" applyBorder="1" applyAlignment="1">
      <alignment horizontal="right" vertical="center" wrapText="1"/>
    </xf>
    <xf numFmtId="165" fontId="5" fillId="0" borderId="79" xfId="7" applyNumberFormat="1" applyFont="1" applyFill="1" applyBorder="1" applyAlignment="1">
      <alignment horizontal="right"/>
    </xf>
    <xf numFmtId="165" fontId="4" fillId="0" borderId="71" xfId="7" applyNumberFormat="1" applyFont="1" applyFill="1" applyBorder="1" applyAlignment="1">
      <alignment horizontal="right"/>
    </xf>
    <xf numFmtId="165" fontId="4" fillId="0" borderId="79" xfId="7" applyNumberFormat="1" applyFont="1" applyFill="1" applyBorder="1" applyAlignment="1">
      <alignment horizontal="right"/>
    </xf>
    <xf numFmtId="49" fontId="5" fillId="0" borderId="71" xfId="7" applyNumberFormat="1" applyFont="1" applyFill="1" applyBorder="1" applyAlignment="1">
      <alignment horizontal="left"/>
    </xf>
    <xf numFmtId="49" fontId="5" fillId="0" borderId="24" xfId="0" applyNumberFormat="1" applyFont="1" applyFill="1" applyBorder="1" applyAlignment="1">
      <alignment vertical="center"/>
    </xf>
    <xf numFmtId="165" fontId="22" fillId="0" borderId="69" xfId="7" applyNumberFormat="1" applyFont="1" applyFill="1" applyBorder="1"/>
    <xf numFmtId="0" fontId="5" fillId="0" borderId="24" xfId="0" applyFont="1" applyBorder="1" applyAlignment="1">
      <alignment vertical="center"/>
    </xf>
    <xf numFmtId="165" fontId="22" fillId="0" borderId="71" xfId="7" applyNumberFormat="1" applyFont="1" applyFill="1" applyBorder="1"/>
    <xf numFmtId="1" fontId="2" fillId="0" borderId="0" xfId="8" applyNumberFormat="1" applyFont="1" applyFill="1"/>
    <xf numFmtId="165" fontId="5" fillId="0" borderId="86" xfId="7" applyNumberFormat="1" applyFont="1" applyFill="1" applyBorder="1"/>
    <xf numFmtId="49" fontId="4" fillId="0" borderId="86" xfId="7" applyNumberFormat="1" applyFont="1" applyFill="1" applyBorder="1" applyAlignment="1">
      <alignment wrapText="1"/>
    </xf>
    <xf numFmtId="49" fontId="5" fillId="0" borderId="61" xfId="7" applyNumberFormat="1" applyFont="1" applyFill="1" applyBorder="1" applyAlignment="1">
      <alignment horizontal="left" wrapText="1"/>
    </xf>
    <xf numFmtId="165" fontId="5" fillId="4" borderId="71" xfId="7" applyNumberFormat="1" applyFont="1" applyFill="1" applyBorder="1" applyAlignment="1">
      <alignment horizontal="center"/>
    </xf>
    <xf numFmtId="165" fontId="5" fillId="4" borderId="79" xfId="7" applyNumberFormat="1" applyFont="1" applyFill="1" applyBorder="1" applyAlignment="1">
      <alignment horizontal="center"/>
    </xf>
    <xf numFmtId="165" fontId="5" fillId="0" borderId="79" xfId="7" applyNumberFormat="1" applyFont="1" applyFill="1" applyBorder="1"/>
    <xf numFmtId="1" fontId="5" fillId="0" borderId="61" xfId="7" applyNumberFormat="1" applyFont="1" applyFill="1" applyBorder="1" applyAlignment="1">
      <alignment horizontal="left" vertical="top" wrapText="1"/>
    </xf>
    <xf numFmtId="1" fontId="5" fillId="0" borderId="71" xfId="7" applyNumberFormat="1" applyFont="1" applyFill="1" applyBorder="1" applyAlignment="1">
      <alignment wrapText="1"/>
    </xf>
    <xf numFmtId="1" fontId="5" fillId="0" borderId="79" xfId="7" applyNumberFormat="1" applyFont="1" applyFill="1" applyBorder="1" applyAlignment="1"/>
    <xf numFmtId="1" fontId="5" fillId="0" borderId="92" xfId="7" applyNumberFormat="1" applyFont="1" applyFill="1" applyBorder="1" applyAlignment="1"/>
    <xf numFmtId="1" fontId="5" fillId="0" borderId="71" xfId="7" applyNumberFormat="1" applyFont="1" applyFill="1" applyBorder="1" applyAlignment="1"/>
    <xf numFmtId="1" fontId="5" fillId="0" borderId="22" xfId="7" applyNumberFormat="1" applyFont="1" applyFill="1" applyBorder="1" applyAlignment="1"/>
    <xf numFmtId="1" fontId="5" fillId="0" borderId="61" xfId="7" applyNumberFormat="1" applyFont="1" applyFill="1" applyBorder="1" applyAlignment="1"/>
    <xf numFmtId="1" fontId="5" fillId="0" borderId="80" xfId="7" applyNumberFormat="1" applyFont="1" applyFill="1" applyBorder="1" applyAlignment="1"/>
    <xf numFmtId="168" fontId="5" fillId="0" borderId="53" xfId="6" applyNumberFormat="1" applyFont="1" applyFill="1" applyBorder="1" applyAlignment="1">
      <alignment horizontal="center"/>
    </xf>
    <xf numFmtId="168" fontId="5" fillId="0" borderId="46" xfId="6" applyNumberFormat="1" applyFont="1" applyFill="1" applyBorder="1" applyAlignment="1">
      <alignment horizontal="center"/>
    </xf>
    <xf numFmtId="0" fontId="5" fillId="4" borderId="61" xfId="0" applyFont="1" applyFill="1" applyBorder="1" applyAlignment="1">
      <alignment horizontal="center"/>
    </xf>
    <xf numFmtId="0" fontId="5" fillId="4" borderId="80" xfId="0" applyFont="1" applyFill="1" applyBorder="1" applyAlignment="1">
      <alignment horizontal="center"/>
    </xf>
    <xf numFmtId="165" fontId="2" fillId="0" borderId="0" xfId="8" applyNumberFormat="1" applyFont="1" applyFill="1"/>
    <xf numFmtId="0" fontId="2" fillId="0" borderId="0" xfId="8" applyFont="1"/>
    <xf numFmtId="0" fontId="2" fillId="0" borderId="0" xfId="8" applyFont="1" applyFill="1"/>
    <xf numFmtId="1" fontId="5" fillId="0" borderId="53" xfId="7" applyNumberFormat="1" applyFont="1" applyFill="1" applyBorder="1"/>
    <xf numFmtId="1" fontId="5" fillId="0" borderId="46" xfId="7" applyNumberFormat="1" applyFont="1" applyFill="1" applyBorder="1"/>
    <xf numFmtId="1" fontId="5" fillId="0" borderId="71" xfId="7" applyNumberFormat="1" applyFont="1" applyFill="1" applyBorder="1"/>
    <xf numFmtId="1" fontId="5" fillId="0" borderId="79" xfId="7" applyNumberFormat="1" applyFont="1" applyFill="1" applyBorder="1"/>
    <xf numFmtId="49" fontId="5" fillId="0" borderId="53" xfId="7" applyNumberFormat="1" applyFont="1" applyFill="1" applyBorder="1" applyAlignment="1">
      <alignment vertical="top" wrapText="1"/>
    </xf>
    <xf numFmtId="1" fontId="5" fillId="0" borderId="2" xfId="1" applyNumberFormat="1" applyFont="1" applyFill="1" applyBorder="1" applyAlignment="1">
      <alignment vertical="center" wrapText="1"/>
    </xf>
    <xf numFmtId="0" fontId="2" fillId="5" borderId="0" xfId="8" applyFont="1" applyFill="1"/>
    <xf numFmtId="49" fontId="5" fillId="0" borderId="71" xfId="7" applyNumberFormat="1" applyFont="1" applyFill="1" applyBorder="1" applyAlignment="1">
      <alignment wrapText="1"/>
    </xf>
    <xf numFmtId="165" fontId="5" fillId="0" borderId="71" xfId="7" applyNumberFormat="1" applyFont="1" applyFill="1" applyBorder="1" applyAlignment="1">
      <alignment vertical="top" wrapText="1"/>
    </xf>
    <xf numFmtId="1" fontId="5" fillId="0" borderId="79" xfId="7" applyNumberFormat="1" applyFont="1" applyFill="1" applyBorder="1" applyAlignment="1">
      <alignment wrapText="1"/>
    </xf>
    <xf numFmtId="165" fontId="4" fillId="0" borderId="61" xfId="7" applyNumberFormat="1" applyFont="1" applyFill="1" applyBorder="1" applyAlignment="1"/>
    <xf numFmtId="49" fontId="4" fillId="0" borderId="22" xfId="7" applyNumberFormat="1" applyFont="1" applyFill="1" applyBorder="1" applyAlignment="1">
      <alignment horizontal="left" wrapText="1"/>
    </xf>
    <xf numFmtId="0" fontId="5" fillId="0" borderId="53" xfId="0" applyFont="1" applyBorder="1" applyAlignment="1">
      <alignment vertical="center"/>
    </xf>
    <xf numFmtId="165" fontId="5" fillId="0" borderId="2" xfId="7" applyNumberFormat="1" applyFont="1" applyFill="1" applyBorder="1"/>
    <xf numFmtId="165" fontId="5" fillId="0" borderId="13" xfId="7" applyNumberFormat="1" applyFont="1" applyFill="1" applyBorder="1" applyAlignment="1">
      <alignment horizontal="right"/>
    </xf>
    <xf numFmtId="1" fontId="5" fillId="0" borderId="61" xfId="7" applyNumberFormat="1" applyFont="1" applyFill="1" applyBorder="1" applyAlignment="1">
      <alignment wrapText="1"/>
    </xf>
    <xf numFmtId="1" fontId="5" fillId="4" borderId="71" xfId="7" applyNumberFormat="1" applyFont="1" applyFill="1" applyBorder="1" applyAlignment="1">
      <alignment horizontal="center"/>
    </xf>
    <xf numFmtId="1" fontId="5" fillId="4" borderId="61" xfId="7" applyNumberFormat="1" applyFont="1" applyFill="1" applyBorder="1" applyAlignment="1">
      <alignment horizontal="center"/>
    </xf>
    <xf numFmtId="49" fontId="5" fillId="0" borderId="13" xfId="7" applyNumberFormat="1" applyFont="1" applyFill="1" applyBorder="1" applyAlignment="1">
      <alignment horizontal="center" vertical="top"/>
    </xf>
    <xf numFmtId="1" fontId="4" fillId="0" borderId="29" xfId="7" applyNumberFormat="1" applyFont="1" applyFill="1" applyBorder="1" applyAlignment="1">
      <alignment wrapText="1"/>
    </xf>
    <xf numFmtId="1" fontId="5" fillId="4" borderId="58" xfId="7" applyNumberFormat="1" applyFont="1" applyFill="1" applyBorder="1" applyAlignment="1">
      <alignment horizontal="center" vertical="center"/>
    </xf>
    <xf numFmtId="1" fontId="5" fillId="4" borderId="59" xfId="7" applyNumberFormat="1" applyFont="1" applyFill="1" applyBorder="1" applyAlignment="1">
      <alignment horizontal="center" vertical="center"/>
    </xf>
    <xf numFmtId="3" fontId="5" fillId="0" borderId="61" xfId="1" applyNumberFormat="1" applyFont="1" applyFill="1" applyBorder="1" applyAlignment="1">
      <alignment horizontal="center" vertical="center"/>
    </xf>
    <xf numFmtId="1" fontId="5" fillId="4" borderId="25" xfId="7" applyNumberFormat="1" applyFont="1" applyFill="1" applyBorder="1" applyAlignment="1">
      <alignment horizontal="center" vertical="center"/>
    </xf>
    <xf numFmtId="1" fontId="5" fillId="0" borderId="58" xfId="7" applyNumberFormat="1" applyFont="1" applyFill="1" applyBorder="1" applyAlignment="1">
      <alignment horizontal="center" vertical="center"/>
    </xf>
    <xf numFmtId="1" fontId="5" fillId="0" borderId="59" xfId="7" applyNumberFormat="1" applyFont="1" applyFill="1" applyBorder="1" applyAlignment="1">
      <alignment horizontal="center" vertical="center"/>
    </xf>
    <xf numFmtId="1" fontId="5" fillId="0" borderId="25" xfId="7" applyNumberFormat="1" applyFont="1" applyFill="1" applyBorder="1" applyAlignment="1">
      <alignment horizontal="center" vertical="center"/>
    </xf>
    <xf numFmtId="1" fontId="5" fillId="0" borderId="13" xfId="7" applyNumberFormat="1" applyFont="1" applyFill="1" applyBorder="1" applyAlignment="1">
      <alignment vertical="top" wrapText="1"/>
    </xf>
    <xf numFmtId="1" fontId="5" fillId="0" borderId="2" xfId="0" applyNumberFormat="1" applyFont="1" applyBorder="1" applyAlignment="1">
      <alignment vertical="top"/>
    </xf>
    <xf numFmtId="1" fontId="5" fillId="0" borderId="13" xfId="7" applyNumberFormat="1" applyFont="1" applyFill="1" applyBorder="1" applyAlignment="1">
      <alignment vertical="top"/>
    </xf>
    <xf numFmtId="1" fontId="5" fillId="0" borderId="13" xfId="7" applyNumberFormat="1" applyFont="1" applyFill="1" applyBorder="1" applyAlignment="1">
      <alignment horizontal="center" vertical="center"/>
    </xf>
    <xf numFmtId="1" fontId="5" fillId="0" borderId="56" xfId="7" applyNumberFormat="1" applyFont="1" applyFill="1" applyBorder="1" applyAlignment="1">
      <alignment horizontal="center" vertical="center"/>
    </xf>
    <xf numFmtId="165" fontId="5" fillId="0" borderId="12" xfId="7" applyNumberFormat="1" applyFont="1" applyFill="1" applyBorder="1" applyAlignment="1">
      <alignment vertical="center" wrapText="1"/>
    </xf>
    <xf numFmtId="1" fontId="5" fillId="0" borderId="12" xfId="7" applyNumberFormat="1" applyFont="1" applyFill="1" applyBorder="1" applyAlignment="1">
      <alignment horizontal="center" vertical="center"/>
    </xf>
    <xf numFmtId="165" fontId="5" fillId="0" borderId="61" xfId="7" applyNumberFormat="1" applyFont="1" applyFill="1" applyBorder="1" applyAlignment="1">
      <alignment vertical="center" wrapText="1"/>
    </xf>
    <xf numFmtId="1" fontId="5" fillId="0" borderId="61" xfId="7" applyNumberFormat="1" applyFont="1" applyFill="1" applyBorder="1" applyAlignment="1">
      <alignment horizontal="center" vertical="center"/>
    </xf>
    <xf numFmtId="3" fontId="5" fillId="0" borderId="22" xfId="1" applyNumberFormat="1" applyFont="1" applyFill="1" applyBorder="1" applyAlignment="1">
      <alignment horizontal="left" vertical="top" wrapText="1"/>
    </xf>
    <xf numFmtId="165" fontId="5" fillId="0" borderId="2" xfId="7" applyNumberFormat="1" applyFont="1" applyFill="1" applyBorder="1" applyAlignment="1">
      <alignment vertical="center" wrapText="1"/>
    </xf>
    <xf numFmtId="1" fontId="5" fillId="0" borderId="2" xfId="7" applyNumberFormat="1" applyFont="1" applyFill="1" applyBorder="1" applyAlignment="1">
      <alignment horizontal="center" vertical="center"/>
    </xf>
    <xf numFmtId="165" fontId="5" fillId="0" borderId="58" xfId="7" applyNumberFormat="1" applyFont="1" applyFill="1" applyBorder="1" applyAlignment="1">
      <alignment vertical="center" wrapText="1"/>
    </xf>
    <xf numFmtId="165" fontId="5" fillId="0" borderId="24" xfId="7" applyNumberFormat="1" applyFont="1" applyFill="1" applyBorder="1" applyAlignment="1">
      <alignment vertical="center" wrapText="1"/>
    </xf>
    <xf numFmtId="1" fontId="5" fillId="0" borderId="24" xfId="7" applyNumberFormat="1" applyFont="1" applyFill="1" applyBorder="1" applyAlignment="1">
      <alignment horizontal="center" vertical="center"/>
    </xf>
    <xf numFmtId="3" fontId="5" fillId="0" borderId="61" xfId="1" applyNumberFormat="1" applyFont="1" applyFill="1" applyBorder="1" applyAlignment="1">
      <alignment horizontal="left" vertical="top" wrapText="1"/>
    </xf>
    <xf numFmtId="165" fontId="5" fillId="0" borderId="58" xfId="7" applyNumberFormat="1" applyFont="1" applyFill="1" applyBorder="1" applyAlignment="1">
      <alignment horizontal="center" vertical="center"/>
    </xf>
    <xf numFmtId="165" fontId="5" fillId="0" borderId="59" xfId="7" applyNumberFormat="1" applyFont="1" applyFill="1" applyBorder="1" applyAlignment="1">
      <alignment horizontal="center" vertical="center"/>
    </xf>
    <xf numFmtId="165" fontId="5" fillId="0" borderId="24" xfId="7" applyNumberFormat="1" applyFont="1" applyFill="1" applyBorder="1" applyAlignment="1">
      <alignment horizontal="center" vertical="center"/>
    </xf>
    <xf numFmtId="165" fontId="5" fillId="0" borderId="25" xfId="7" applyNumberFormat="1" applyFont="1" applyFill="1" applyBorder="1" applyAlignment="1">
      <alignment horizontal="center" vertical="center"/>
    </xf>
    <xf numFmtId="165" fontId="5" fillId="0" borderId="61" xfId="7" applyNumberFormat="1" applyFont="1" applyFill="1" applyBorder="1" applyAlignment="1">
      <alignment horizontal="center" vertical="center"/>
    </xf>
    <xf numFmtId="165" fontId="5" fillId="0" borderId="80" xfId="7" applyNumberFormat="1" applyFont="1" applyFill="1" applyBorder="1" applyAlignment="1">
      <alignment horizontal="center" vertical="center"/>
    </xf>
    <xf numFmtId="165" fontId="5" fillId="0" borderId="71" xfId="7" applyNumberFormat="1" applyFont="1" applyFill="1" applyBorder="1" applyAlignment="1">
      <alignment vertical="center" wrapText="1"/>
    </xf>
    <xf numFmtId="1" fontId="5" fillId="0" borderId="71" xfId="7" applyNumberFormat="1" applyFont="1" applyFill="1" applyBorder="1" applyAlignment="1">
      <alignment horizontal="center" vertical="center"/>
    </xf>
    <xf numFmtId="165" fontId="5" fillId="0" borderId="71" xfId="7" applyNumberFormat="1" applyFont="1" applyFill="1" applyBorder="1" applyAlignment="1">
      <alignment horizontal="center" vertical="center"/>
    </xf>
    <xf numFmtId="165" fontId="5" fillId="0" borderId="79" xfId="7" applyNumberFormat="1" applyFont="1" applyFill="1" applyBorder="1" applyAlignment="1">
      <alignment horizontal="center" vertical="center"/>
    </xf>
    <xf numFmtId="165" fontId="5" fillId="0" borderId="13" xfId="7" applyNumberFormat="1" applyFont="1" applyFill="1" applyBorder="1" applyAlignment="1">
      <alignment horizontal="center" vertical="center"/>
    </xf>
    <xf numFmtId="165" fontId="5" fillId="0" borderId="56" xfId="7" applyNumberFormat="1" applyFont="1" applyFill="1" applyBorder="1" applyAlignment="1">
      <alignment horizontal="center" vertical="center"/>
    </xf>
    <xf numFmtId="1" fontId="5" fillId="0" borderId="58" xfId="7" applyNumberFormat="1" applyFont="1" applyFill="1" applyBorder="1" applyAlignment="1">
      <alignment vertical="center" wrapText="1"/>
    </xf>
    <xf numFmtId="0" fontId="5" fillId="0" borderId="12" xfId="0" applyFont="1" applyFill="1" applyBorder="1" applyAlignment="1">
      <alignment vertical="center"/>
    </xf>
    <xf numFmtId="0" fontId="5" fillId="0" borderId="12" xfId="0" applyFont="1" applyFill="1" applyBorder="1" applyAlignment="1">
      <alignment horizontal="right" vertical="center"/>
    </xf>
    <xf numFmtId="165" fontId="5" fillId="0" borderId="12" xfId="7" applyNumberFormat="1" applyFont="1" applyFill="1" applyBorder="1" applyAlignment="1">
      <alignment horizontal="center" vertical="center"/>
    </xf>
    <xf numFmtId="165" fontId="5" fillId="0" borderId="57" xfId="7" applyNumberFormat="1" applyFont="1" applyFill="1" applyBorder="1" applyAlignment="1">
      <alignment horizontal="center" vertical="center"/>
    </xf>
    <xf numFmtId="165" fontId="5" fillId="0" borderId="13" xfId="7" applyNumberFormat="1" applyFont="1" applyFill="1" applyBorder="1" applyAlignment="1">
      <alignment vertical="center" wrapText="1"/>
    </xf>
    <xf numFmtId="49" fontId="5" fillId="0" borderId="24" xfId="7" applyNumberFormat="1" applyFont="1" applyFill="1" applyBorder="1" applyAlignment="1">
      <alignment horizontal="center" vertical="center"/>
    </xf>
    <xf numFmtId="49" fontId="5" fillId="0" borderId="58" xfId="0" applyNumberFormat="1" applyFont="1" applyFill="1" applyBorder="1" applyAlignment="1">
      <alignment horizontal="left" vertical="center" wrapText="1"/>
    </xf>
    <xf numFmtId="0" fontId="2" fillId="0" borderId="46" xfId="8" applyFont="1" applyFill="1" applyBorder="1" applyAlignment="1">
      <alignment horizontal="center"/>
    </xf>
    <xf numFmtId="1" fontId="5" fillId="0" borderId="2" xfId="7" applyNumberFormat="1" applyFont="1" applyFill="1" applyBorder="1" applyAlignment="1">
      <alignment vertical="center" wrapText="1"/>
    </xf>
    <xf numFmtId="1" fontId="5" fillId="0" borderId="24" xfId="7" applyNumberFormat="1" applyFont="1" applyFill="1" applyBorder="1" applyAlignment="1">
      <alignment vertical="center" wrapText="1"/>
    </xf>
    <xf numFmtId="1" fontId="5" fillId="4" borderId="24" xfId="7" applyNumberFormat="1" applyFont="1" applyFill="1" applyBorder="1" applyAlignment="1">
      <alignment horizontal="center" vertical="center"/>
    </xf>
    <xf numFmtId="0" fontId="5" fillId="0" borderId="2" xfId="0" applyFont="1" applyBorder="1" applyAlignment="1">
      <alignment vertical="center" wrapText="1"/>
    </xf>
    <xf numFmtId="0" fontId="5" fillId="0" borderId="23" xfId="0" applyFont="1" applyBorder="1" applyAlignment="1">
      <alignment horizontal="center" vertical="center"/>
    </xf>
    <xf numFmtId="0" fontId="5" fillId="0" borderId="25" xfId="0" applyFont="1" applyBorder="1" applyAlignment="1">
      <alignment horizontal="center" vertical="center"/>
    </xf>
    <xf numFmtId="1" fontId="5" fillId="0" borderId="13" xfId="7" applyNumberFormat="1" applyFont="1" applyFill="1" applyBorder="1" applyAlignment="1">
      <alignment vertical="center" wrapText="1"/>
    </xf>
    <xf numFmtId="9" fontId="5" fillId="4" borderId="13" xfId="10" applyFont="1" applyFill="1" applyBorder="1" applyAlignment="1">
      <alignment horizontal="center" vertical="center"/>
    </xf>
    <xf numFmtId="1" fontId="5" fillId="4" borderId="13" xfId="7" applyNumberFormat="1" applyFont="1" applyFill="1" applyBorder="1" applyAlignment="1">
      <alignment horizontal="center" vertical="center"/>
    </xf>
    <xf numFmtId="49" fontId="5" fillId="0" borderId="38" xfId="0" applyNumberFormat="1" applyFont="1" applyFill="1" applyBorder="1" applyAlignment="1">
      <alignment horizontal="left" vertical="center"/>
    </xf>
    <xf numFmtId="165" fontId="5" fillId="0" borderId="24" xfId="7" applyNumberFormat="1" applyFont="1" applyFill="1" applyBorder="1" applyAlignment="1">
      <alignment horizontal="right" vertical="center"/>
    </xf>
    <xf numFmtId="165" fontId="5" fillId="0" borderId="24" xfId="7" applyNumberFormat="1" applyFont="1" applyFill="1" applyBorder="1" applyAlignment="1">
      <alignment vertical="center"/>
    </xf>
    <xf numFmtId="0" fontId="5" fillId="0" borderId="71" xfId="0" applyFont="1" applyBorder="1" applyAlignment="1">
      <alignment horizontal="center" vertical="center"/>
    </xf>
    <xf numFmtId="0" fontId="5" fillId="0" borderId="79" xfId="0" applyFont="1" applyBorder="1" applyAlignment="1">
      <alignment horizontal="center" vertical="center"/>
    </xf>
    <xf numFmtId="0" fontId="18" fillId="0" borderId="2" xfId="0" applyNumberFormat="1" applyFont="1" applyFill="1" applyBorder="1" applyAlignment="1">
      <alignment wrapText="1"/>
    </xf>
    <xf numFmtId="0" fontId="5" fillId="0" borderId="2" xfId="0" applyNumberFormat="1" applyFont="1" applyFill="1" applyBorder="1" applyAlignment="1">
      <alignment vertical="center" wrapText="1"/>
    </xf>
    <xf numFmtId="1" fontId="5" fillId="4" borderId="56" xfId="7" applyNumberFormat="1" applyFont="1" applyFill="1" applyBorder="1" applyAlignment="1">
      <alignment horizontal="center" vertical="center"/>
    </xf>
    <xf numFmtId="1" fontId="5" fillId="4" borderId="61" xfId="7" applyNumberFormat="1" applyFont="1" applyFill="1" applyBorder="1" applyAlignment="1">
      <alignment horizontal="center" vertical="center"/>
    </xf>
    <xf numFmtId="1" fontId="5" fillId="4" borderId="80" xfId="7" applyNumberFormat="1" applyFont="1" applyFill="1" applyBorder="1" applyAlignment="1">
      <alignment horizontal="center" vertical="center"/>
    </xf>
    <xf numFmtId="1" fontId="5" fillId="0" borderId="57" xfId="7" applyNumberFormat="1" applyFont="1" applyFill="1" applyBorder="1" applyAlignment="1">
      <alignment horizontal="center" vertical="center"/>
    </xf>
    <xf numFmtId="49" fontId="5" fillId="0" borderId="53" xfId="7" applyNumberFormat="1" applyFont="1" applyFill="1" applyBorder="1" applyAlignment="1">
      <alignment horizontal="left" vertical="center"/>
    </xf>
    <xf numFmtId="49" fontId="5" fillId="0" borderId="53" xfId="7" applyNumberFormat="1" applyFont="1" applyFill="1" applyBorder="1" applyAlignment="1">
      <alignment horizontal="center" vertical="center"/>
    </xf>
    <xf numFmtId="49" fontId="5" fillId="0" borderId="28" xfId="7" applyNumberFormat="1" applyFont="1" applyFill="1" applyBorder="1" applyAlignment="1">
      <alignment horizontal="left" vertical="center"/>
    </xf>
    <xf numFmtId="1" fontId="5" fillId="0" borderId="53" xfId="7" applyNumberFormat="1" applyFont="1" applyFill="1" applyBorder="1" applyAlignment="1">
      <alignment horizontal="right" vertical="center"/>
    </xf>
    <xf numFmtId="3" fontId="5" fillId="0" borderId="53" xfId="1" applyNumberFormat="1" applyFont="1" applyFill="1" applyBorder="1" applyAlignment="1">
      <alignment horizontal="left" vertical="center" wrapText="1"/>
    </xf>
    <xf numFmtId="1" fontId="5" fillId="4" borderId="53" xfId="7" applyNumberFormat="1" applyFont="1" applyFill="1" applyBorder="1" applyAlignment="1">
      <alignment horizontal="center" vertical="center"/>
    </xf>
    <xf numFmtId="1" fontId="5" fillId="0" borderId="46" xfId="7" applyNumberFormat="1" applyFont="1" applyFill="1" applyBorder="1" applyAlignment="1">
      <alignment horizontal="center" vertical="center"/>
    </xf>
    <xf numFmtId="1" fontId="4" fillId="0" borderId="61" xfId="7" applyNumberFormat="1" applyFont="1" applyFill="1" applyBorder="1" applyAlignment="1">
      <alignment horizontal="center"/>
    </xf>
    <xf numFmtId="1" fontId="4" fillId="0" borderId="80" xfId="7" applyNumberFormat="1" applyFont="1" applyFill="1" applyBorder="1" applyAlignment="1">
      <alignment horizontal="center"/>
    </xf>
    <xf numFmtId="1" fontId="5" fillId="0" borderId="12" xfId="0" applyNumberFormat="1" applyFont="1" applyBorder="1" applyAlignment="1">
      <alignment vertical="top"/>
    </xf>
    <xf numFmtId="0" fontId="5" fillId="0" borderId="15" xfId="8" applyFont="1" applyFill="1" applyBorder="1" applyAlignment="1">
      <alignment vertical="center" wrapText="1"/>
    </xf>
    <xf numFmtId="1" fontId="5" fillId="0" borderId="54" xfId="7" applyNumberFormat="1" applyFont="1" applyFill="1" applyBorder="1" applyAlignment="1">
      <alignment vertical="center" wrapText="1"/>
    </xf>
    <xf numFmtId="1" fontId="5" fillId="0" borderId="24" xfId="7" applyNumberFormat="1" applyFont="1" applyFill="1" applyBorder="1" applyAlignment="1">
      <alignment vertical="center"/>
    </xf>
    <xf numFmtId="1" fontId="5" fillId="0" borderId="2" xfId="7" applyNumberFormat="1" applyFont="1" applyFill="1" applyBorder="1" applyAlignment="1">
      <alignment vertical="center"/>
    </xf>
    <xf numFmtId="1" fontId="5" fillId="0" borderId="23" xfId="7" applyNumberFormat="1" applyFont="1" applyFill="1" applyBorder="1" applyAlignment="1">
      <alignment vertical="center"/>
    </xf>
    <xf numFmtId="49" fontId="5" fillId="0" borderId="13" xfId="0" applyNumberFormat="1" applyFont="1" applyFill="1" applyBorder="1" applyAlignment="1">
      <alignment horizontal="left" vertical="center"/>
    </xf>
    <xf numFmtId="165" fontId="5" fillId="0" borderId="71" xfId="7" applyNumberFormat="1" applyFont="1" applyFill="1" applyBorder="1" applyAlignment="1">
      <alignment horizontal="right" vertical="center"/>
    </xf>
    <xf numFmtId="165" fontId="5" fillId="0" borderId="58" xfId="7" applyNumberFormat="1" applyFont="1" applyFill="1" applyBorder="1" applyAlignment="1">
      <alignment horizontal="right" vertical="center"/>
    </xf>
    <xf numFmtId="165" fontId="5" fillId="0" borderId="13" xfId="7" applyNumberFormat="1" applyFont="1" applyFill="1" applyBorder="1" applyAlignment="1">
      <alignment horizontal="right"/>
    </xf>
    <xf numFmtId="49" fontId="5" fillId="0" borderId="71" xfId="7" applyNumberFormat="1" applyFont="1" applyFill="1" applyBorder="1" applyAlignment="1">
      <alignment horizontal="center" vertical="center"/>
    </xf>
    <xf numFmtId="49" fontId="5" fillId="0" borderId="58" xfId="7" applyNumberFormat="1" applyFont="1" applyFill="1" applyBorder="1" applyAlignment="1">
      <alignment horizontal="left" vertical="center" wrapText="1"/>
    </xf>
    <xf numFmtId="0" fontId="5" fillId="0" borderId="58" xfId="7" applyNumberFormat="1" applyFont="1" applyFill="1" applyBorder="1" applyAlignment="1">
      <alignment horizontal="left" vertical="center"/>
    </xf>
    <xf numFmtId="49" fontId="5" fillId="0" borderId="58" xfId="7" applyNumberFormat="1" applyFont="1" applyFill="1" applyBorder="1" applyAlignment="1">
      <alignment horizontal="center" vertical="center"/>
    </xf>
    <xf numFmtId="49" fontId="5" fillId="0" borderId="58" xfId="0" applyNumberFormat="1" applyFont="1" applyFill="1" applyBorder="1" applyAlignment="1">
      <alignment vertical="center"/>
    </xf>
    <xf numFmtId="1" fontId="5" fillId="4" borderId="79" xfId="7" applyNumberFormat="1" applyFont="1" applyFill="1" applyBorder="1" applyAlignment="1">
      <alignment horizontal="right"/>
    </xf>
    <xf numFmtId="1" fontId="5" fillId="4" borderId="71" xfId="7" applyNumberFormat="1" applyFont="1" applyFill="1" applyBorder="1" applyAlignment="1">
      <alignment horizontal="right"/>
    </xf>
    <xf numFmtId="1" fontId="5" fillId="4" borderId="79" xfId="7" applyNumberFormat="1" applyFont="1" applyFill="1" applyBorder="1" applyAlignment="1">
      <alignment horizontal="right" vertical="center"/>
    </xf>
    <xf numFmtId="1" fontId="5" fillId="0" borderId="71" xfId="7" applyNumberFormat="1" applyFont="1" applyFill="1" applyBorder="1" applyAlignment="1">
      <alignment horizontal="right"/>
    </xf>
    <xf numFmtId="1" fontId="5" fillId="0" borderId="79" xfId="7" applyNumberFormat="1" applyFont="1" applyFill="1" applyBorder="1" applyAlignment="1">
      <alignment horizontal="right"/>
    </xf>
    <xf numFmtId="1" fontId="5" fillId="4" borderId="71" xfId="7" applyNumberFormat="1" applyFont="1" applyFill="1" applyBorder="1" applyAlignment="1">
      <alignment horizontal="right" vertical="center"/>
    </xf>
    <xf numFmtId="49" fontId="5" fillId="0" borderId="61" xfId="7" applyNumberFormat="1" applyFont="1" applyFill="1" applyBorder="1" applyAlignment="1">
      <alignment horizontal="left" vertical="center"/>
    </xf>
    <xf numFmtId="1" fontId="5" fillId="0" borderId="58" xfId="7" applyNumberFormat="1" applyFont="1" applyFill="1" applyBorder="1" applyAlignment="1">
      <alignment horizontal="right" vertical="center"/>
    </xf>
    <xf numFmtId="165" fontId="5" fillId="0" borderId="61" xfId="7" applyNumberFormat="1" applyFont="1" applyFill="1" applyBorder="1" applyAlignment="1">
      <alignment vertical="center"/>
    </xf>
    <xf numFmtId="49" fontId="5" fillId="0" borderId="58" xfId="7" applyNumberFormat="1" applyFont="1" applyFill="1" applyBorder="1" applyAlignment="1">
      <alignment vertical="center" wrapText="1"/>
    </xf>
    <xf numFmtId="165" fontId="5" fillId="0" borderId="58" xfId="7" applyNumberFormat="1" applyFont="1" applyFill="1" applyBorder="1" applyAlignment="1">
      <alignment vertical="center"/>
    </xf>
    <xf numFmtId="165" fontId="5" fillId="0" borderId="61" xfId="7" applyNumberFormat="1" applyFont="1" applyFill="1" applyBorder="1" applyAlignment="1">
      <alignment horizontal="right" vertical="center"/>
    </xf>
    <xf numFmtId="165" fontId="5" fillId="0" borderId="13" xfId="7" applyNumberFormat="1" applyFont="1" applyFill="1" applyBorder="1" applyAlignment="1">
      <alignment horizontal="right" vertical="center"/>
    </xf>
    <xf numFmtId="165" fontId="5" fillId="0" borderId="13" xfId="7" applyNumberFormat="1" applyFont="1" applyFill="1" applyBorder="1" applyAlignment="1">
      <alignment vertical="center"/>
    </xf>
    <xf numFmtId="49" fontId="5" fillId="0" borderId="61" xfId="7" applyNumberFormat="1" applyFont="1" applyFill="1" applyBorder="1" applyAlignment="1">
      <alignment horizontal="center" vertical="center"/>
    </xf>
    <xf numFmtId="0" fontId="5" fillId="0" borderId="24" xfId="0" applyFont="1" applyBorder="1" applyAlignment="1">
      <alignment horizontal="right" vertical="center"/>
    </xf>
    <xf numFmtId="49" fontId="5" fillId="0" borderId="12" xfId="7" applyNumberFormat="1" applyFont="1" applyFill="1" applyBorder="1" applyAlignment="1">
      <alignment horizontal="center" vertical="center"/>
    </xf>
    <xf numFmtId="165" fontId="5" fillId="0" borderId="12" xfId="7" applyNumberFormat="1" applyFont="1" applyFill="1" applyBorder="1" applyAlignment="1">
      <alignment horizontal="right" vertical="center"/>
    </xf>
    <xf numFmtId="165" fontId="5" fillId="0" borderId="12" xfId="7" applyNumberFormat="1" applyFont="1" applyFill="1" applyBorder="1" applyAlignment="1">
      <alignment vertical="center"/>
    </xf>
    <xf numFmtId="165" fontId="5" fillId="0" borderId="2" xfId="7" applyNumberFormat="1" applyFont="1" applyFill="1" applyBorder="1" applyAlignment="1">
      <alignment vertical="center"/>
    </xf>
    <xf numFmtId="1" fontId="5" fillId="0" borderId="12" xfId="7" applyNumberFormat="1" applyFont="1" applyFill="1" applyBorder="1" applyAlignment="1">
      <alignment vertical="center"/>
    </xf>
    <xf numFmtId="49" fontId="5" fillId="0" borderId="2" xfId="7" applyNumberFormat="1" applyFont="1" applyFill="1" applyBorder="1" applyAlignment="1">
      <alignment horizontal="left" vertical="center" wrapText="1"/>
    </xf>
    <xf numFmtId="49" fontId="5" fillId="0" borderId="24" xfId="7" applyNumberFormat="1" applyFont="1" applyFill="1" applyBorder="1" applyAlignment="1">
      <alignment horizontal="left" vertical="center" wrapText="1"/>
    </xf>
    <xf numFmtId="1" fontId="5" fillId="0" borderId="58" xfId="7" applyNumberFormat="1" applyFont="1" applyFill="1" applyBorder="1" applyAlignment="1">
      <alignment vertical="center"/>
    </xf>
    <xf numFmtId="165" fontId="5" fillId="0" borderId="58" xfId="7" applyNumberFormat="1" applyFont="1" applyFill="1" applyBorder="1" applyAlignment="1">
      <alignment horizontal="right" vertical="center"/>
    </xf>
    <xf numFmtId="165" fontId="5" fillId="0" borderId="71" xfId="7" applyNumberFormat="1" applyFont="1" applyFill="1" applyBorder="1" applyAlignment="1">
      <alignment horizontal="right" vertical="center"/>
    </xf>
    <xf numFmtId="49" fontId="5" fillId="0" borderId="58" xfId="7" applyNumberFormat="1" applyFont="1" applyFill="1" applyBorder="1" applyAlignment="1">
      <alignment horizontal="center" vertical="center"/>
    </xf>
    <xf numFmtId="165" fontId="5" fillId="0" borderId="71" xfId="7" applyNumberFormat="1" applyFont="1" applyFill="1" applyBorder="1" applyAlignment="1">
      <alignment horizontal="right"/>
    </xf>
    <xf numFmtId="165" fontId="5" fillId="0" borderId="13" xfId="7" applyNumberFormat="1" applyFont="1" applyFill="1" applyBorder="1" applyAlignment="1">
      <alignment horizontal="right"/>
    </xf>
    <xf numFmtId="49" fontId="5" fillId="0" borderId="71" xfId="7" applyNumberFormat="1" applyFont="1" applyFill="1" applyBorder="1" applyAlignment="1">
      <alignment horizontal="center" vertical="center"/>
    </xf>
    <xf numFmtId="49" fontId="5" fillId="0" borderId="58" xfId="7" applyNumberFormat="1" applyFont="1" applyFill="1" applyBorder="1" applyAlignment="1">
      <alignment horizontal="left" vertical="center" wrapText="1"/>
    </xf>
    <xf numFmtId="0" fontId="0" fillId="0" borderId="2" xfId="0" applyBorder="1" applyAlignment="1">
      <alignment horizontal="center" vertical="center"/>
    </xf>
    <xf numFmtId="49" fontId="5" fillId="0" borderId="13" xfId="7" applyNumberFormat="1" applyFont="1" applyFill="1" applyBorder="1" applyAlignment="1">
      <alignment horizontal="center"/>
    </xf>
    <xf numFmtId="1" fontId="5" fillId="0" borderId="71" xfId="7" applyNumberFormat="1" applyFont="1" applyFill="1" applyBorder="1" applyAlignment="1">
      <alignment horizontal="left" vertical="center" wrapText="1"/>
    </xf>
    <xf numFmtId="1" fontId="5" fillId="0" borderId="61" xfId="7" applyNumberFormat="1" applyFont="1" applyFill="1" applyBorder="1" applyAlignment="1">
      <alignment horizontal="right" wrapText="1"/>
    </xf>
    <xf numFmtId="1" fontId="5" fillId="4" borderId="79" xfId="7" applyNumberFormat="1" applyFont="1" applyFill="1" applyBorder="1" applyAlignment="1">
      <alignment horizontal="right" vertical="center"/>
    </xf>
    <xf numFmtId="1" fontId="5" fillId="0" borderId="71" xfId="7" applyNumberFormat="1" applyFont="1" applyFill="1" applyBorder="1" applyAlignment="1">
      <alignment horizontal="right"/>
    </xf>
    <xf numFmtId="1" fontId="5" fillId="0" borderId="79" xfId="7" applyNumberFormat="1" applyFont="1" applyFill="1" applyBorder="1" applyAlignment="1">
      <alignment horizontal="right"/>
    </xf>
    <xf numFmtId="1" fontId="5" fillId="4" borderId="71" xfId="7" applyNumberFormat="1" applyFont="1" applyFill="1" applyBorder="1" applyAlignment="1">
      <alignment horizontal="right" vertical="center"/>
    </xf>
    <xf numFmtId="1" fontId="5" fillId="0" borderId="71" xfId="7" applyNumberFormat="1" applyFont="1" applyFill="1" applyBorder="1" applyAlignment="1">
      <alignment wrapText="1"/>
    </xf>
    <xf numFmtId="1" fontId="5" fillId="0" borderId="13" xfId="7" applyNumberFormat="1" applyFont="1" applyFill="1" applyBorder="1" applyAlignment="1">
      <alignment horizontal="left" vertical="center" wrapText="1"/>
    </xf>
    <xf numFmtId="49" fontId="5" fillId="0" borderId="71" xfId="7" applyNumberFormat="1" applyFont="1" applyFill="1" applyBorder="1" applyAlignment="1">
      <alignment horizontal="left" vertical="center"/>
    </xf>
    <xf numFmtId="49" fontId="5" fillId="0" borderId="71" xfId="7" applyNumberFormat="1" applyFont="1" applyFill="1" applyBorder="1" applyAlignment="1">
      <alignment horizontal="left" vertical="center" wrapText="1"/>
    </xf>
    <xf numFmtId="49" fontId="5" fillId="0" borderId="61" xfId="7" applyNumberFormat="1" applyFont="1" applyFill="1" applyBorder="1" applyAlignment="1">
      <alignment horizontal="left" vertical="center" wrapText="1"/>
    </xf>
    <xf numFmtId="165" fontId="5" fillId="0" borderId="71" xfId="7" applyNumberFormat="1" applyFont="1" applyFill="1" applyBorder="1" applyAlignment="1">
      <alignment vertical="center"/>
    </xf>
    <xf numFmtId="165" fontId="5" fillId="0" borderId="61" xfId="7" applyNumberFormat="1" applyFont="1" applyFill="1" applyBorder="1" applyAlignment="1">
      <alignment vertical="center"/>
    </xf>
    <xf numFmtId="1" fontId="5" fillId="0" borderId="71" xfId="7" applyNumberFormat="1" applyFont="1" applyFill="1" applyBorder="1" applyAlignment="1">
      <alignment vertical="center" wrapText="1"/>
    </xf>
    <xf numFmtId="1" fontId="5" fillId="4" borderId="71" xfId="7" applyNumberFormat="1" applyFont="1" applyFill="1" applyBorder="1" applyAlignment="1">
      <alignment horizontal="center" vertical="center"/>
    </xf>
    <xf numFmtId="1" fontId="5" fillId="4" borderId="79" xfId="7" applyNumberFormat="1" applyFont="1" applyFill="1" applyBorder="1" applyAlignment="1">
      <alignment horizontal="center" vertical="center"/>
    </xf>
    <xf numFmtId="1" fontId="5" fillId="0" borderId="58" xfId="7" applyNumberFormat="1" applyFont="1" applyFill="1" applyBorder="1" applyAlignment="1">
      <alignment horizontal="right" vertical="center"/>
    </xf>
    <xf numFmtId="49" fontId="5" fillId="0" borderId="58" xfId="7" applyNumberFormat="1" applyFont="1" applyFill="1" applyBorder="1" applyAlignment="1">
      <alignment vertical="center" wrapText="1"/>
    </xf>
    <xf numFmtId="0" fontId="5" fillId="0" borderId="2" xfId="0" applyFont="1" applyBorder="1" applyAlignment="1">
      <alignment horizontal="center" vertical="center"/>
    </xf>
    <xf numFmtId="0" fontId="5" fillId="0" borderId="12" xfId="0" applyFont="1" applyBorder="1" applyAlignment="1">
      <alignment vertical="center"/>
    </xf>
    <xf numFmtId="0" fontId="5" fillId="0" borderId="12" xfId="0" applyFont="1" applyBorder="1" applyAlignment="1">
      <alignment horizontal="right" vertical="center"/>
    </xf>
    <xf numFmtId="49" fontId="5" fillId="0" borderId="2" xfId="7" applyNumberFormat="1" applyFont="1" applyFill="1" applyBorder="1" applyAlignment="1">
      <alignment horizontal="left" vertical="center" wrapText="1"/>
    </xf>
    <xf numFmtId="49" fontId="5" fillId="0" borderId="24" xfId="7" applyNumberFormat="1" applyFont="1" applyFill="1" applyBorder="1" applyAlignment="1">
      <alignment horizontal="left" vertical="center" wrapText="1"/>
    </xf>
    <xf numFmtId="1" fontId="5" fillId="0" borderId="58" xfId="7" applyNumberFormat="1" applyFont="1" applyFill="1" applyBorder="1" applyAlignment="1">
      <alignment vertical="center"/>
    </xf>
    <xf numFmtId="0" fontId="5" fillId="0" borderId="2" xfId="0" applyFont="1" applyBorder="1" applyAlignment="1">
      <alignment horizontal="right" vertical="center"/>
    </xf>
    <xf numFmtId="165" fontId="5" fillId="0" borderId="58" xfId="7" applyNumberFormat="1" applyFont="1" applyFill="1" applyBorder="1" applyAlignment="1">
      <alignment vertical="center"/>
    </xf>
    <xf numFmtId="165" fontId="5" fillId="0" borderId="12" xfId="7" applyNumberFormat="1" applyFont="1" applyFill="1" applyBorder="1" applyAlignment="1">
      <alignment horizontal="right" vertical="center"/>
    </xf>
    <xf numFmtId="165" fontId="5" fillId="0" borderId="12" xfId="7" applyNumberFormat="1" applyFont="1" applyFill="1" applyBorder="1" applyAlignment="1">
      <alignment vertical="center"/>
    </xf>
    <xf numFmtId="0" fontId="5" fillId="0" borderId="2" xfId="0" applyFont="1" applyBorder="1" applyAlignment="1">
      <alignment vertical="center"/>
    </xf>
    <xf numFmtId="165" fontId="5" fillId="0" borderId="13" xfId="7" applyNumberFormat="1" applyFont="1" applyFill="1" applyBorder="1" applyAlignment="1">
      <alignment vertical="center"/>
    </xf>
    <xf numFmtId="1" fontId="5" fillId="0" borderId="12" xfId="7" applyNumberFormat="1" applyFont="1" applyFill="1" applyBorder="1" applyAlignment="1">
      <alignment vertical="center"/>
    </xf>
    <xf numFmtId="165" fontId="5" fillId="0" borderId="2" xfId="7" applyNumberFormat="1" applyFont="1" applyFill="1" applyBorder="1" applyAlignment="1">
      <alignment vertical="center"/>
    </xf>
    <xf numFmtId="0" fontId="5" fillId="0" borderId="24" xfId="0" applyFont="1" applyBorder="1" applyAlignment="1">
      <alignment horizontal="center" vertical="center"/>
    </xf>
    <xf numFmtId="165" fontId="5" fillId="0" borderId="61" xfId="7" applyNumberFormat="1" applyFont="1" applyFill="1" applyBorder="1" applyAlignment="1">
      <alignment horizontal="right" vertical="center"/>
    </xf>
    <xf numFmtId="0" fontId="5" fillId="0" borderId="24" xfId="0" applyFont="1" applyBorder="1" applyAlignment="1">
      <alignment horizontal="right" vertical="center"/>
    </xf>
    <xf numFmtId="165" fontId="5" fillId="0" borderId="13" xfId="7" applyNumberFormat="1" applyFont="1" applyFill="1" applyBorder="1" applyAlignment="1">
      <alignment horizontal="right" vertical="center"/>
    </xf>
    <xf numFmtId="0" fontId="5" fillId="0" borderId="13" xfId="0" applyFont="1" applyBorder="1" applyAlignment="1">
      <alignment horizontal="center" vertical="center"/>
    </xf>
    <xf numFmtId="49" fontId="5" fillId="0" borderId="58" xfId="7" applyNumberFormat="1" applyFont="1" applyFill="1" applyBorder="1" applyAlignment="1">
      <alignment vertical="center"/>
    </xf>
    <xf numFmtId="165" fontId="5" fillId="0" borderId="2" xfId="7" applyNumberFormat="1" applyFont="1" applyFill="1" applyBorder="1" applyAlignment="1">
      <alignment horizontal="right" vertical="center"/>
    </xf>
    <xf numFmtId="165" fontId="5" fillId="0" borderId="16" xfId="7" applyNumberFormat="1" applyFont="1" applyFill="1" applyBorder="1" applyAlignment="1">
      <alignment horizontal="right" vertical="center"/>
    </xf>
    <xf numFmtId="165" fontId="5" fillId="0" borderId="48" xfId="7" applyNumberFormat="1" applyFont="1" applyFill="1" applyBorder="1" applyAlignment="1">
      <alignment horizontal="right" vertical="center"/>
    </xf>
    <xf numFmtId="165" fontId="5" fillId="0" borderId="10" xfId="7" applyNumberFormat="1" applyFont="1" applyFill="1" applyBorder="1" applyAlignment="1">
      <alignment horizontal="right" vertical="center"/>
    </xf>
    <xf numFmtId="165" fontId="5" fillId="0" borderId="11" xfId="7" applyNumberFormat="1" applyFont="1" applyFill="1" applyBorder="1" applyAlignment="1">
      <alignment horizontal="right" vertical="center"/>
    </xf>
    <xf numFmtId="49" fontId="5" fillId="0" borderId="84" xfId="7" applyNumberFormat="1" applyFont="1" applyFill="1" applyBorder="1" applyAlignment="1">
      <alignment horizontal="center" vertical="center"/>
    </xf>
    <xf numFmtId="0" fontId="2" fillId="0" borderId="58" xfId="8" applyFont="1" applyFill="1" applyBorder="1" applyAlignment="1">
      <alignment vertical="center"/>
    </xf>
    <xf numFmtId="0" fontId="2" fillId="0" borderId="59" xfId="8" applyFont="1" applyFill="1" applyBorder="1" applyAlignment="1">
      <alignment vertical="center"/>
    </xf>
    <xf numFmtId="49" fontId="5" fillId="0" borderId="43" xfId="7" applyNumberFormat="1" applyFont="1" applyFill="1" applyBorder="1" applyAlignment="1">
      <alignment horizontal="center" vertical="center"/>
    </xf>
    <xf numFmtId="1" fontId="5" fillId="0" borderId="2" xfId="7" applyNumberFormat="1" applyFont="1" applyFill="1" applyBorder="1" applyAlignment="1">
      <alignment horizontal="right" vertical="center"/>
    </xf>
    <xf numFmtId="1" fontId="5" fillId="0" borderId="23" xfId="7" applyNumberFormat="1" applyFont="1" applyFill="1" applyBorder="1" applyAlignment="1">
      <alignment horizontal="right" vertical="center"/>
    </xf>
    <xf numFmtId="0" fontId="5" fillId="0" borderId="31" xfId="0" applyFont="1" applyFill="1" applyBorder="1" applyAlignment="1">
      <alignment horizontal="left" vertical="center"/>
    </xf>
    <xf numFmtId="165" fontId="5" fillId="0" borderId="88" xfId="7" applyNumberFormat="1" applyFont="1" applyFill="1" applyBorder="1" applyAlignment="1">
      <alignment horizontal="right" vertical="center"/>
    </xf>
    <xf numFmtId="165" fontId="5" fillId="0" borderId="3" xfId="7" applyNumberFormat="1" applyFont="1" applyFill="1" applyBorder="1" applyAlignment="1">
      <alignment horizontal="right" vertical="center"/>
    </xf>
    <xf numFmtId="165" fontId="5" fillId="0" borderId="8" xfId="7" applyNumberFormat="1" applyFont="1" applyFill="1" applyBorder="1" applyAlignment="1">
      <alignment horizontal="right" vertical="center"/>
    </xf>
    <xf numFmtId="1" fontId="5" fillId="0" borderId="23" xfId="8" applyNumberFormat="1" applyFont="1" applyFill="1" applyBorder="1" applyAlignment="1">
      <alignment horizontal="center"/>
    </xf>
    <xf numFmtId="1" fontId="29" fillId="4" borderId="71" xfId="7" applyNumberFormat="1" applyFont="1" applyFill="1" applyBorder="1" applyAlignment="1">
      <alignment horizontal="right" vertical="top"/>
    </xf>
    <xf numFmtId="1" fontId="29" fillId="4" borderId="79" xfId="7" applyNumberFormat="1" applyFont="1" applyFill="1" applyBorder="1" applyAlignment="1">
      <alignment horizontal="right" vertical="top"/>
    </xf>
    <xf numFmtId="165" fontId="4" fillId="0" borderId="67" xfId="7" applyNumberFormat="1" applyFont="1" applyFill="1" applyBorder="1" applyAlignment="1">
      <alignment horizontal="right" vertical="top"/>
    </xf>
    <xf numFmtId="165" fontId="4" fillId="0" borderId="22" xfId="7" applyNumberFormat="1" applyFont="1" applyFill="1" applyBorder="1" applyAlignment="1">
      <alignment horizontal="right" vertical="top"/>
    </xf>
    <xf numFmtId="49" fontId="4" fillId="0" borderId="22" xfId="7" applyNumberFormat="1" applyFont="1" applyFill="1" applyBorder="1" applyAlignment="1">
      <alignment horizontal="left" vertical="top" wrapText="1"/>
    </xf>
    <xf numFmtId="1" fontId="5" fillId="0" borderId="59" xfId="7" applyNumberFormat="1" applyFont="1" applyFill="1" applyBorder="1" applyAlignment="1">
      <alignment horizontal="right" vertical="center"/>
    </xf>
    <xf numFmtId="1" fontId="4" fillId="4" borderId="22" xfId="7" applyNumberFormat="1" applyFont="1" applyFill="1" applyBorder="1" applyAlignment="1">
      <alignment horizontal="right" vertical="top"/>
    </xf>
    <xf numFmtId="1" fontId="4" fillId="4" borderId="92" xfId="7" applyNumberFormat="1" applyFont="1" applyFill="1" applyBorder="1" applyAlignment="1">
      <alignment horizontal="right" vertical="top"/>
    </xf>
    <xf numFmtId="1" fontId="4" fillId="4" borderId="22" xfId="7" applyNumberFormat="1" applyFont="1" applyFill="1" applyBorder="1" applyAlignment="1">
      <alignment horizontal="right"/>
    </xf>
    <xf numFmtId="1" fontId="4" fillId="4" borderId="92" xfId="7" applyNumberFormat="1" applyFont="1" applyFill="1" applyBorder="1" applyAlignment="1">
      <alignment horizontal="right"/>
    </xf>
    <xf numFmtId="1" fontId="4" fillId="4" borderId="53" xfId="7" applyNumberFormat="1" applyFont="1" applyFill="1" applyBorder="1" applyAlignment="1">
      <alignment horizontal="right"/>
    </xf>
    <xf numFmtId="1" fontId="4" fillId="4" borderId="46" xfId="7" applyNumberFormat="1" applyFont="1" applyFill="1" applyBorder="1" applyAlignment="1">
      <alignment horizontal="right"/>
    </xf>
    <xf numFmtId="1" fontId="4" fillId="4" borderId="61" xfId="7" applyNumberFormat="1" applyFont="1" applyFill="1" applyBorder="1" applyAlignment="1">
      <alignment horizontal="right"/>
    </xf>
    <xf numFmtId="1" fontId="4" fillId="4" borderId="80" xfId="7" applyNumberFormat="1" applyFont="1" applyFill="1" applyBorder="1" applyAlignment="1">
      <alignment horizontal="right"/>
    </xf>
    <xf numFmtId="165" fontId="5" fillId="4" borderId="53" xfId="7" applyNumberFormat="1" applyFont="1" applyFill="1" applyBorder="1" applyAlignment="1">
      <alignment horizontal="right"/>
    </xf>
    <xf numFmtId="165" fontId="5" fillId="4" borderId="46" xfId="7" applyNumberFormat="1" applyFont="1" applyFill="1" applyBorder="1" applyAlignment="1">
      <alignment horizontal="right"/>
    </xf>
    <xf numFmtId="0" fontId="5" fillId="0" borderId="58" xfId="0" applyNumberFormat="1" applyFont="1" applyFill="1" applyBorder="1" applyAlignment="1">
      <alignment horizontal="right" vertical="center"/>
    </xf>
    <xf numFmtId="0" fontId="5" fillId="0" borderId="59" xfId="0" applyNumberFormat="1" applyFont="1" applyFill="1" applyBorder="1" applyAlignment="1">
      <alignment horizontal="right" vertical="center"/>
    </xf>
    <xf numFmtId="0" fontId="5" fillId="0" borderId="22" xfId="0" applyNumberFormat="1" applyFont="1" applyFill="1" applyBorder="1" applyAlignment="1">
      <alignment horizontal="right" vertical="center"/>
    </xf>
    <xf numFmtId="0" fontId="5" fillId="0" borderId="92" xfId="0" applyNumberFormat="1" applyFont="1" applyFill="1" applyBorder="1" applyAlignment="1">
      <alignment horizontal="right" vertical="center"/>
    </xf>
    <xf numFmtId="49" fontId="5" fillId="0" borderId="61" xfId="0" applyNumberFormat="1" applyFont="1" applyFill="1" applyBorder="1" applyAlignment="1">
      <alignment horizontal="right" vertical="center"/>
    </xf>
    <xf numFmtId="49" fontId="5" fillId="0" borderId="80" xfId="0" applyNumberFormat="1" applyFont="1" applyFill="1" applyBorder="1" applyAlignment="1">
      <alignment horizontal="right" vertical="center"/>
    </xf>
    <xf numFmtId="0" fontId="5" fillId="0" borderId="24" xfId="0" applyNumberFormat="1" applyFont="1" applyFill="1" applyBorder="1" applyAlignment="1">
      <alignment horizontal="right" vertical="center"/>
    </xf>
    <xf numFmtId="0" fontId="5" fillId="0" borderId="25" xfId="0" applyNumberFormat="1" applyFont="1" applyFill="1" applyBorder="1" applyAlignment="1">
      <alignment horizontal="right" vertical="center"/>
    </xf>
    <xf numFmtId="0" fontId="2" fillId="4" borderId="53" xfId="8" applyFont="1" applyFill="1" applyBorder="1" applyAlignment="1">
      <alignment horizontal="right"/>
    </xf>
    <xf numFmtId="0" fontId="2" fillId="4" borderId="46" xfId="8" applyFont="1" applyFill="1" applyBorder="1" applyAlignment="1">
      <alignment horizontal="right"/>
    </xf>
    <xf numFmtId="1" fontId="5" fillId="0" borderId="24" xfId="7" applyNumberFormat="1" applyFont="1" applyFill="1" applyBorder="1" applyAlignment="1">
      <alignment horizontal="right" vertical="center"/>
    </xf>
    <xf numFmtId="1" fontId="5" fillId="0" borderId="25" xfId="7" applyNumberFormat="1" applyFont="1" applyFill="1" applyBorder="1" applyAlignment="1">
      <alignment horizontal="right" vertical="center"/>
    </xf>
    <xf numFmtId="1" fontId="4" fillId="4" borderId="34" xfId="7" applyNumberFormat="1" applyFont="1" applyFill="1" applyBorder="1" applyAlignment="1">
      <alignment horizontal="right"/>
    </xf>
    <xf numFmtId="1" fontId="4" fillId="4" borderId="37" xfId="7" applyNumberFormat="1" applyFont="1" applyFill="1" applyBorder="1" applyAlignment="1">
      <alignment horizontal="right"/>
    </xf>
    <xf numFmtId="1" fontId="4" fillId="4" borderId="0" xfId="7" applyNumberFormat="1" applyFont="1" applyFill="1" applyBorder="1" applyAlignment="1">
      <alignment horizontal="right"/>
    </xf>
    <xf numFmtId="165" fontId="5" fillId="0" borderId="47" xfId="7" applyNumberFormat="1" applyFont="1" applyFill="1" applyBorder="1" applyAlignment="1">
      <alignment horizontal="right" vertical="center"/>
    </xf>
    <xf numFmtId="1" fontId="29" fillId="0" borderId="72" xfId="7" applyNumberFormat="1" applyFont="1" applyFill="1" applyBorder="1" applyAlignment="1">
      <alignment vertical="top"/>
    </xf>
    <xf numFmtId="165" fontId="22" fillId="0" borderId="91" xfId="7" applyNumberFormat="1" applyFont="1" applyFill="1" applyBorder="1" applyAlignment="1">
      <alignment horizontal="right" vertical="top"/>
    </xf>
    <xf numFmtId="165" fontId="22" fillId="0" borderId="53" xfId="7" applyNumberFormat="1" applyFont="1" applyFill="1" applyBorder="1" applyAlignment="1">
      <alignment horizontal="right" vertical="top"/>
    </xf>
    <xf numFmtId="165" fontId="22" fillId="0" borderId="46" xfId="7" applyNumberFormat="1" applyFont="1" applyFill="1" applyBorder="1" applyAlignment="1">
      <alignment horizontal="right" vertical="top"/>
    </xf>
    <xf numFmtId="165" fontId="4" fillId="0" borderId="73" xfId="7" applyNumberFormat="1" applyFont="1" applyFill="1" applyBorder="1" applyAlignment="1">
      <alignment horizontal="right" vertical="top"/>
    </xf>
    <xf numFmtId="165" fontId="4" fillId="0" borderId="36" xfId="7" applyNumberFormat="1" applyFont="1" applyFill="1" applyBorder="1" applyAlignment="1">
      <alignment horizontal="right" vertical="top"/>
    </xf>
    <xf numFmtId="165" fontId="4" fillId="0" borderId="35" xfId="7" applyNumberFormat="1" applyFont="1" applyFill="1" applyBorder="1" applyAlignment="1">
      <alignment horizontal="right" vertical="top"/>
    </xf>
    <xf numFmtId="165" fontId="4" fillId="0" borderId="53" xfId="7" applyNumberFormat="1" applyFont="1" applyFill="1" applyBorder="1" applyAlignment="1">
      <alignment horizontal="right" vertical="top"/>
    </xf>
    <xf numFmtId="165" fontId="5" fillId="0" borderId="22" xfId="7" applyNumberFormat="1" applyFont="1" applyFill="1" applyBorder="1" applyAlignment="1">
      <alignment horizontal="right" vertical="center"/>
    </xf>
    <xf numFmtId="49" fontId="5" fillId="0" borderId="22" xfId="7" applyNumberFormat="1" applyFont="1" applyFill="1" applyBorder="1" applyAlignment="1">
      <alignment horizontal="left" vertical="center" wrapText="1"/>
    </xf>
    <xf numFmtId="1" fontId="5" fillId="4" borderId="22" xfId="7" applyNumberFormat="1" applyFont="1" applyFill="1" applyBorder="1" applyAlignment="1">
      <alignment horizontal="right" vertical="center"/>
    </xf>
    <xf numFmtId="1" fontId="5" fillId="4" borderId="92" xfId="7" applyNumberFormat="1" applyFont="1" applyFill="1" applyBorder="1" applyAlignment="1">
      <alignment horizontal="right" vertical="center"/>
    </xf>
    <xf numFmtId="49" fontId="5" fillId="0" borderId="93" xfId="7" applyNumberFormat="1" applyFont="1" applyFill="1" applyBorder="1" applyAlignment="1">
      <alignment horizontal="center" vertical="center"/>
    </xf>
    <xf numFmtId="49" fontId="5" fillId="0" borderId="10" xfId="7" applyNumberFormat="1" applyFont="1" applyFill="1" applyBorder="1" applyAlignment="1">
      <alignment horizontal="center" vertical="center"/>
    </xf>
    <xf numFmtId="165" fontId="5" fillId="0" borderId="49" xfId="7" applyNumberFormat="1" applyFont="1" applyFill="1" applyBorder="1" applyAlignment="1">
      <alignment horizontal="right" vertical="center"/>
    </xf>
    <xf numFmtId="165" fontId="5" fillId="0" borderId="50" xfId="7" applyNumberFormat="1" applyFont="1" applyFill="1" applyBorder="1" applyAlignment="1">
      <alignment horizontal="right" vertical="center"/>
    </xf>
    <xf numFmtId="165" fontId="5" fillId="0" borderId="23" xfId="7" applyNumberFormat="1" applyFont="1" applyFill="1" applyBorder="1" applyAlignment="1">
      <alignment horizontal="right" vertical="center"/>
    </xf>
    <xf numFmtId="1" fontId="5" fillId="0" borderId="12" xfId="7" applyNumberFormat="1" applyFont="1" applyFill="1" applyBorder="1" applyAlignment="1">
      <alignment horizontal="right" vertical="center"/>
    </xf>
    <xf numFmtId="1" fontId="5" fillId="0" borderId="57" xfId="7" applyNumberFormat="1" applyFont="1" applyFill="1" applyBorder="1" applyAlignment="1">
      <alignment horizontal="right" vertical="center"/>
    </xf>
    <xf numFmtId="165" fontId="22" fillId="0" borderId="35" xfId="7" applyNumberFormat="1" applyFont="1" applyFill="1" applyBorder="1" applyAlignment="1">
      <alignment horizontal="right" vertical="top"/>
    </xf>
    <xf numFmtId="1" fontId="4" fillId="0" borderId="53" xfId="7" applyNumberFormat="1" applyFont="1" applyFill="1" applyBorder="1" applyAlignment="1">
      <alignment vertical="top"/>
    </xf>
    <xf numFmtId="1" fontId="4" fillId="4" borderId="53" xfId="7" applyNumberFormat="1" applyFont="1" applyFill="1" applyBorder="1" applyAlignment="1">
      <alignment horizontal="right" vertical="top"/>
    </xf>
    <xf numFmtId="1" fontId="4" fillId="4" borderId="46" xfId="7" applyNumberFormat="1" applyFont="1" applyFill="1" applyBorder="1" applyAlignment="1">
      <alignment horizontal="right" vertical="top"/>
    </xf>
    <xf numFmtId="165" fontId="22" fillId="0" borderId="36" xfId="7" applyNumberFormat="1" applyFont="1" applyFill="1" applyBorder="1" applyAlignment="1">
      <alignment horizontal="right" vertical="top"/>
    </xf>
    <xf numFmtId="1" fontId="4" fillId="0" borderId="53" xfId="7" applyNumberFormat="1" applyFont="1" applyFill="1" applyBorder="1" applyAlignment="1">
      <alignment vertical="top" wrapText="1"/>
    </xf>
    <xf numFmtId="1" fontId="5" fillId="0" borderId="13" xfId="7" applyNumberFormat="1" applyFont="1" applyFill="1" applyBorder="1" applyAlignment="1">
      <alignment horizontal="right" vertical="center"/>
    </xf>
    <xf numFmtId="1" fontId="5" fillId="0" borderId="56" xfId="7" applyNumberFormat="1" applyFont="1" applyFill="1" applyBorder="1" applyAlignment="1">
      <alignment horizontal="right" vertical="center"/>
    </xf>
    <xf numFmtId="165" fontId="4" fillId="0" borderId="77" xfId="7" applyNumberFormat="1" applyFont="1" applyFill="1" applyBorder="1" applyAlignment="1">
      <alignment horizontal="right" vertical="top"/>
    </xf>
    <xf numFmtId="165" fontId="4" fillId="0" borderId="89" xfId="7" applyNumberFormat="1" applyFont="1" applyFill="1" applyBorder="1" applyAlignment="1">
      <alignment horizontal="right" vertical="top"/>
    </xf>
    <xf numFmtId="0" fontId="25" fillId="4" borderId="58" xfId="0" applyFont="1" applyFill="1" applyBorder="1" applyAlignment="1">
      <alignment horizontal="left" vertical="center" wrapText="1"/>
    </xf>
    <xf numFmtId="0" fontId="25" fillId="4" borderId="24" xfId="0" applyFont="1" applyFill="1" applyBorder="1" applyAlignment="1">
      <alignment horizontal="left" vertical="center" wrapText="1"/>
    </xf>
    <xf numFmtId="165" fontId="4" fillId="0" borderId="41" xfId="7" applyNumberFormat="1" applyFont="1" applyFill="1" applyBorder="1" applyAlignment="1">
      <alignment horizontal="right" vertical="top"/>
    </xf>
    <xf numFmtId="165" fontId="5" fillId="0" borderId="7" xfId="7" applyNumberFormat="1" applyFont="1" applyFill="1" applyBorder="1" applyAlignment="1">
      <alignment horizontal="right" vertical="center"/>
    </xf>
    <xf numFmtId="1" fontId="5" fillId="0" borderId="61" xfId="7" applyNumberFormat="1" applyFont="1" applyFill="1" applyBorder="1" applyAlignment="1">
      <alignment vertical="center" wrapText="1"/>
    </xf>
    <xf numFmtId="1" fontId="25" fillId="0" borderId="61" xfId="7" applyNumberFormat="1" applyFont="1" applyFill="1" applyBorder="1" applyAlignment="1">
      <alignment horizontal="right" vertical="center"/>
    </xf>
    <xf numFmtId="1" fontId="25" fillId="0" borderId="80" xfId="7" applyNumberFormat="1" applyFont="1" applyFill="1" applyBorder="1" applyAlignment="1">
      <alignment horizontal="right" vertical="center"/>
    </xf>
    <xf numFmtId="1" fontId="5" fillId="0" borderId="46" xfId="7" applyNumberFormat="1" applyFont="1" applyFill="1" applyBorder="1" applyAlignment="1">
      <alignment horizontal="right" vertical="center"/>
    </xf>
    <xf numFmtId="49" fontId="5" fillId="0" borderId="29" xfId="7" applyNumberFormat="1" applyFont="1" applyFill="1" applyBorder="1" applyAlignment="1">
      <alignment horizontal="center" vertical="center"/>
    </xf>
    <xf numFmtId="1" fontId="25" fillId="0" borderId="53" xfId="7" applyNumberFormat="1" applyFont="1" applyFill="1" applyBorder="1" applyAlignment="1">
      <alignment horizontal="right" vertical="center"/>
    </xf>
    <xf numFmtId="1" fontId="25" fillId="0" borderId="46" xfId="7" applyNumberFormat="1" applyFont="1" applyFill="1" applyBorder="1" applyAlignment="1">
      <alignment horizontal="right" vertical="center"/>
    </xf>
    <xf numFmtId="165" fontId="4" fillId="0" borderId="69" xfId="7" applyNumberFormat="1" applyFont="1" applyFill="1" applyBorder="1" applyAlignment="1">
      <alignment horizontal="right" vertical="top"/>
    </xf>
    <xf numFmtId="165" fontId="4" fillId="0" borderId="71" xfId="7" applyNumberFormat="1" applyFont="1" applyFill="1" applyBorder="1" applyAlignment="1">
      <alignment horizontal="right" vertical="top"/>
    </xf>
    <xf numFmtId="49" fontId="5" fillId="0" borderId="86" xfId="7" applyNumberFormat="1" applyFont="1" applyFill="1" applyBorder="1" applyAlignment="1">
      <alignment horizontal="left" vertical="center"/>
    </xf>
    <xf numFmtId="165" fontId="5" fillId="0" borderId="53" xfId="7" applyNumberFormat="1" applyFont="1" applyFill="1" applyBorder="1" applyAlignment="1">
      <alignment horizontal="right" vertical="center"/>
    </xf>
    <xf numFmtId="165" fontId="4" fillId="0" borderId="91" xfId="7" applyNumberFormat="1" applyFont="1" applyFill="1" applyBorder="1" applyAlignment="1">
      <alignment horizontal="right" vertical="top"/>
    </xf>
    <xf numFmtId="49" fontId="5" fillId="0" borderId="0" xfId="7" applyNumberFormat="1" applyFont="1" applyFill="1" applyBorder="1" applyAlignment="1">
      <alignment horizontal="center" vertical="center"/>
    </xf>
    <xf numFmtId="1" fontId="5" fillId="0" borderId="61" xfId="7" applyNumberFormat="1" applyFont="1" applyFill="1" applyBorder="1" applyAlignment="1">
      <alignment vertical="center"/>
    </xf>
    <xf numFmtId="165" fontId="5" fillId="0" borderId="29" xfId="7" applyNumberFormat="1" applyFont="1" applyFill="1" applyBorder="1" applyAlignment="1">
      <alignment horizontal="right" vertical="center"/>
    </xf>
    <xf numFmtId="1" fontId="5" fillId="4" borderId="61" xfId="7" applyNumberFormat="1" applyFont="1" applyFill="1" applyBorder="1" applyAlignment="1">
      <alignment horizontal="right" vertical="center"/>
    </xf>
    <xf numFmtId="1" fontId="5" fillId="4" borderId="80" xfId="7" applyNumberFormat="1" applyFont="1" applyFill="1" applyBorder="1" applyAlignment="1">
      <alignment horizontal="right" vertical="center"/>
    </xf>
    <xf numFmtId="165" fontId="4" fillId="0" borderId="29" xfId="7" applyNumberFormat="1" applyFont="1" applyFill="1" applyBorder="1" applyAlignment="1">
      <alignment horizontal="right" vertical="top"/>
    </xf>
    <xf numFmtId="165" fontId="4" fillId="0" borderId="70" xfId="7" applyNumberFormat="1" applyFont="1" applyFill="1" applyBorder="1" applyAlignment="1">
      <alignment horizontal="right" vertical="top"/>
    </xf>
    <xf numFmtId="165" fontId="4" fillId="0" borderId="61" xfId="7" applyNumberFormat="1" applyFont="1" applyFill="1" applyBorder="1" applyAlignment="1">
      <alignment horizontal="right" vertical="top"/>
    </xf>
    <xf numFmtId="49" fontId="5" fillId="0" borderId="95" xfId="7" applyNumberFormat="1" applyFont="1" applyFill="1" applyBorder="1" applyAlignment="1">
      <alignment horizontal="center" vertical="center"/>
    </xf>
    <xf numFmtId="165" fontId="4" fillId="0" borderId="86" xfId="7" applyNumberFormat="1" applyFont="1" applyFill="1" applyBorder="1" applyAlignment="1">
      <alignment horizontal="right" vertical="top"/>
    </xf>
    <xf numFmtId="49" fontId="5" fillId="0" borderId="33" xfId="7" applyNumberFormat="1" applyFont="1" applyFill="1" applyBorder="1" applyAlignment="1">
      <alignment horizontal="center" vertical="center"/>
    </xf>
    <xf numFmtId="0" fontId="5" fillId="0" borderId="2" xfId="0" applyFont="1" applyFill="1" applyBorder="1" applyAlignment="1">
      <alignment vertical="center" wrapText="1"/>
    </xf>
    <xf numFmtId="165" fontId="4" fillId="0" borderId="72" xfId="7" applyNumberFormat="1" applyFont="1" applyFill="1" applyBorder="1" applyAlignment="1">
      <alignment horizontal="right" vertical="top"/>
    </xf>
    <xf numFmtId="1" fontId="5" fillId="0" borderId="12" xfId="7" applyNumberFormat="1" applyFont="1" applyFill="1" applyBorder="1" applyAlignment="1">
      <alignment vertical="center" wrapText="1"/>
    </xf>
    <xf numFmtId="165" fontId="5" fillId="0" borderId="13" xfId="0" applyNumberFormat="1" applyFont="1" applyFill="1" applyBorder="1" applyAlignment="1">
      <alignment vertical="center" wrapText="1"/>
    </xf>
    <xf numFmtId="1" fontId="5" fillId="0" borderId="26" xfId="7" applyNumberFormat="1" applyFont="1" applyFill="1" applyBorder="1" applyAlignment="1">
      <alignment vertical="center" wrapText="1"/>
    </xf>
    <xf numFmtId="1" fontId="5" fillId="0" borderId="16" xfId="7" applyNumberFormat="1" applyFont="1" applyFill="1" applyBorder="1" applyAlignment="1">
      <alignment vertical="center" wrapText="1"/>
    </xf>
    <xf numFmtId="1" fontId="5" fillId="4" borderId="13" xfId="7" applyNumberFormat="1" applyFont="1" applyFill="1" applyBorder="1" applyAlignment="1">
      <alignment horizontal="right" vertical="center"/>
    </xf>
    <xf numFmtId="1" fontId="5" fillId="4" borderId="56" xfId="7" applyNumberFormat="1" applyFont="1" applyFill="1" applyBorder="1" applyAlignment="1">
      <alignment horizontal="right" vertical="center"/>
    </xf>
    <xf numFmtId="1" fontId="5" fillId="4" borderId="12" xfId="7" applyNumberFormat="1" applyFont="1" applyFill="1" applyBorder="1" applyAlignment="1">
      <alignment horizontal="right" vertical="center"/>
    </xf>
    <xf numFmtId="1" fontId="5" fillId="4" borderId="57" xfId="7" applyNumberFormat="1" applyFont="1" applyFill="1" applyBorder="1" applyAlignment="1">
      <alignment horizontal="right" vertical="center"/>
    </xf>
    <xf numFmtId="49" fontId="5" fillId="0" borderId="87" xfId="7" applyNumberFormat="1" applyFont="1" applyFill="1" applyBorder="1" applyAlignment="1">
      <alignment horizontal="center" vertical="center"/>
    </xf>
    <xf numFmtId="1" fontId="5" fillId="0" borderId="13" xfId="7" applyNumberFormat="1" applyFont="1" applyFill="1" applyBorder="1" applyAlignment="1">
      <alignment vertical="center"/>
    </xf>
    <xf numFmtId="49" fontId="5" fillId="0" borderId="16" xfId="7" applyNumberFormat="1" applyFont="1" applyFill="1" applyBorder="1" applyAlignment="1">
      <alignment horizontal="center" vertical="center"/>
    </xf>
    <xf numFmtId="165" fontId="4" fillId="4" borderId="91" xfId="7" applyNumberFormat="1" applyFont="1" applyFill="1" applyBorder="1" applyAlignment="1">
      <alignment horizontal="right" vertical="top"/>
    </xf>
    <xf numFmtId="165" fontId="4" fillId="4" borderId="86" xfId="7" applyNumberFormat="1" applyFont="1" applyFill="1" applyBorder="1" applyAlignment="1">
      <alignment horizontal="right" vertical="top"/>
    </xf>
    <xf numFmtId="165" fontId="5" fillId="0" borderId="15" xfId="7" applyNumberFormat="1" applyFont="1" applyFill="1" applyBorder="1" applyAlignment="1">
      <alignment horizontal="right" vertical="center"/>
    </xf>
    <xf numFmtId="0" fontId="5" fillId="0" borderId="12" xfId="7" applyNumberFormat="1" applyFont="1" applyFill="1" applyBorder="1" applyAlignment="1">
      <alignment horizontal="left" vertical="center"/>
    </xf>
    <xf numFmtId="49" fontId="5" fillId="0" borderId="28" xfId="7" applyNumberFormat="1" applyFont="1" applyFill="1" applyBorder="1" applyAlignment="1">
      <alignment horizontal="center" vertical="center"/>
    </xf>
    <xf numFmtId="0" fontId="5" fillId="0" borderId="2" xfId="7" applyNumberFormat="1" applyFont="1" applyFill="1" applyBorder="1" applyAlignment="1">
      <alignment horizontal="left" vertical="center"/>
    </xf>
    <xf numFmtId="165" fontId="5" fillId="0" borderId="2" xfId="7" applyNumberFormat="1" applyFont="1" applyFill="1" applyBorder="1" applyAlignment="1">
      <alignment horizontal="right" vertical="center"/>
    </xf>
    <xf numFmtId="1" fontId="5" fillId="0" borderId="58" xfId="7" applyNumberFormat="1" applyFont="1" applyFill="1" applyBorder="1" applyAlignment="1">
      <alignment horizontal="left" vertical="center" wrapText="1"/>
    </xf>
    <xf numFmtId="1" fontId="5" fillId="0" borderId="24" xfId="7" applyNumberFormat="1" applyFont="1" applyFill="1" applyBorder="1" applyAlignment="1">
      <alignment horizontal="left" vertical="center" wrapText="1"/>
    </xf>
    <xf numFmtId="165" fontId="4" fillId="0" borderId="13" xfId="7" applyNumberFormat="1" applyFont="1" applyFill="1" applyBorder="1" applyAlignment="1">
      <alignment horizontal="right" vertical="top"/>
    </xf>
    <xf numFmtId="165" fontId="4" fillId="0" borderId="42" xfId="7" applyNumberFormat="1" applyFont="1" applyFill="1" applyBorder="1" applyAlignment="1"/>
    <xf numFmtId="165" fontId="4" fillId="0" borderId="34" xfId="7" applyNumberFormat="1" applyFont="1" applyFill="1" applyBorder="1" applyAlignment="1"/>
    <xf numFmtId="165" fontId="4" fillId="0" borderId="86" xfId="7" applyNumberFormat="1" applyFont="1" applyFill="1" applyBorder="1" applyAlignment="1">
      <alignment horizontal="right"/>
    </xf>
    <xf numFmtId="165" fontId="22" fillId="0" borderId="67" xfId="7" applyNumberFormat="1" applyFont="1" applyFill="1" applyBorder="1" applyAlignment="1">
      <alignment horizontal="right" vertical="top"/>
    </xf>
    <xf numFmtId="165" fontId="22" fillId="0" borderId="22" xfId="7" applyNumberFormat="1" applyFont="1" applyFill="1" applyBorder="1" applyAlignment="1">
      <alignment horizontal="right" vertical="top"/>
    </xf>
    <xf numFmtId="1" fontId="5" fillId="4" borderId="0" xfId="8" applyNumberFormat="1" applyFont="1" applyFill="1" applyBorder="1" applyAlignment="1">
      <alignment horizontal="center"/>
    </xf>
    <xf numFmtId="165" fontId="24" fillId="0" borderId="0" xfId="8" applyNumberFormat="1" applyFont="1" applyBorder="1" applyAlignment="1">
      <alignment horizontal="center"/>
    </xf>
    <xf numFmtId="165" fontId="20" fillId="0" borderId="0" xfId="8" applyNumberFormat="1" applyFont="1" applyBorder="1"/>
    <xf numFmtId="0" fontId="20" fillId="0" borderId="0" xfId="8" applyFont="1" applyBorder="1"/>
    <xf numFmtId="0" fontId="20" fillId="4" borderId="0" xfId="8" applyFont="1" applyFill="1" applyBorder="1" applyAlignment="1">
      <alignment horizontal="center"/>
    </xf>
    <xf numFmtId="165" fontId="20" fillId="4" borderId="0" xfId="8" applyNumberFormat="1" applyFont="1" applyFill="1" applyBorder="1" applyAlignment="1">
      <alignment horizontal="center"/>
    </xf>
    <xf numFmtId="49" fontId="5" fillId="0" borderId="16" xfId="7" applyNumberFormat="1" applyFont="1" applyFill="1" applyBorder="1" applyAlignment="1">
      <alignment horizontal="left" vertical="center"/>
    </xf>
    <xf numFmtId="165" fontId="4" fillId="0" borderId="69" xfId="7" applyNumberFormat="1" applyFont="1" applyFill="1" applyBorder="1" applyAlignment="1">
      <alignment vertical="top"/>
    </xf>
    <xf numFmtId="165" fontId="4" fillId="0" borderId="71" xfId="7" applyNumberFormat="1" applyFont="1" applyFill="1" applyBorder="1" applyAlignment="1">
      <alignment vertical="top"/>
    </xf>
    <xf numFmtId="49" fontId="5" fillId="0" borderId="87" xfId="7" applyNumberFormat="1" applyFont="1" applyFill="1" applyBorder="1" applyAlignment="1">
      <alignment horizontal="left" vertical="center"/>
    </xf>
    <xf numFmtId="1" fontId="15" fillId="0" borderId="58" xfId="7" applyNumberFormat="1" applyFont="1" applyFill="1" applyBorder="1" applyAlignment="1">
      <alignment vertical="center"/>
    </xf>
    <xf numFmtId="1" fontId="15" fillId="0" borderId="59" xfId="7" applyNumberFormat="1" applyFont="1" applyFill="1" applyBorder="1" applyAlignment="1">
      <alignment vertical="center"/>
    </xf>
    <xf numFmtId="49" fontId="5" fillId="0" borderId="54" xfId="7" applyNumberFormat="1" applyFont="1" applyFill="1" applyBorder="1" applyAlignment="1">
      <alignment horizontal="left" vertical="center"/>
    </xf>
    <xf numFmtId="1" fontId="15" fillId="0" borderId="24" xfId="7" applyNumberFormat="1" applyFont="1" applyFill="1" applyBorder="1" applyAlignment="1">
      <alignment vertical="center"/>
    </xf>
    <xf numFmtId="1" fontId="15" fillId="0" borderId="25" xfId="7" applyNumberFormat="1" applyFont="1" applyFill="1" applyBorder="1" applyAlignment="1">
      <alignment vertical="center"/>
    </xf>
    <xf numFmtId="49" fontId="5" fillId="0" borderId="16" xfId="7" applyNumberFormat="1" applyFont="1" applyFill="1" applyBorder="1" applyAlignment="1">
      <alignment horizontal="left" vertical="center" wrapText="1"/>
    </xf>
    <xf numFmtId="1" fontId="5" fillId="0" borderId="23" xfId="7" applyNumberFormat="1" applyFont="1" applyFill="1" applyBorder="1" applyAlignment="1">
      <alignment horizontal="center" vertical="center"/>
    </xf>
    <xf numFmtId="0" fontId="0" fillId="0" borderId="57" xfId="0" applyFill="1" applyBorder="1" applyAlignment="1">
      <alignment horizontal="right" vertical="center"/>
    </xf>
    <xf numFmtId="165" fontId="4" fillId="0" borderId="91" xfId="7" applyNumberFormat="1" applyFont="1" applyFill="1" applyBorder="1" applyAlignment="1">
      <alignment vertical="top"/>
    </xf>
    <xf numFmtId="165" fontId="4" fillId="0" borderId="53" xfId="7" applyNumberFormat="1" applyFont="1" applyFill="1" applyBorder="1" applyAlignment="1">
      <alignment vertical="top"/>
    </xf>
    <xf numFmtId="0" fontId="0" fillId="0" borderId="25" xfId="0" applyFill="1" applyBorder="1" applyAlignment="1">
      <alignment horizontal="right" vertical="center"/>
    </xf>
    <xf numFmtId="165" fontId="5" fillId="0" borderId="58" xfId="0" applyNumberFormat="1" applyFont="1" applyFill="1" applyBorder="1" applyAlignment="1">
      <alignment horizontal="right" vertical="center"/>
    </xf>
    <xf numFmtId="165" fontId="5" fillId="0" borderId="24" xfId="0" applyNumberFormat="1" applyFont="1" applyFill="1" applyBorder="1" applyAlignment="1">
      <alignment horizontal="right" vertical="center"/>
    </xf>
    <xf numFmtId="0" fontId="5" fillId="0" borderId="12" xfId="0" applyFont="1" applyFill="1" applyBorder="1" applyAlignment="1">
      <alignment horizontal="center" vertical="center"/>
    </xf>
    <xf numFmtId="0" fontId="5" fillId="0" borderId="57" xfId="0" applyFont="1" applyFill="1" applyBorder="1" applyAlignment="1">
      <alignment horizontal="right" vertical="center"/>
    </xf>
    <xf numFmtId="165" fontId="5" fillId="0" borderId="12" xfId="0" applyNumberFormat="1" applyFont="1" applyFill="1" applyBorder="1" applyAlignment="1">
      <alignment horizontal="right" vertical="center"/>
    </xf>
    <xf numFmtId="3" fontId="5" fillId="0" borderId="58" xfId="1" applyNumberFormat="1" applyFont="1" applyFill="1" applyBorder="1" applyAlignment="1">
      <alignment horizontal="center" vertical="center"/>
    </xf>
    <xf numFmtId="3" fontId="5" fillId="0" borderId="59" xfId="1" applyNumberFormat="1" applyFont="1" applyFill="1" applyBorder="1" applyAlignment="1">
      <alignment horizontal="center" vertical="center"/>
    </xf>
    <xf numFmtId="49" fontId="5" fillId="0" borderId="12" xfId="7" applyNumberFormat="1" applyFont="1" applyFill="1" applyBorder="1" applyAlignment="1">
      <alignment horizontal="left" vertical="center"/>
    </xf>
    <xf numFmtId="165" fontId="5" fillId="0" borderId="24" xfId="0" applyNumberFormat="1" applyFont="1" applyBorder="1" applyAlignment="1">
      <alignment horizontal="right" vertical="center"/>
    </xf>
    <xf numFmtId="165" fontId="5" fillId="0" borderId="24" xfId="0" applyNumberFormat="1" applyFont="1" applyBorder="1" applyAlignment="1">
      <alignment vertical="center"/>
    </xf>
    <xf numFmtId="1" fontId="5" fillId="0" borderId="56" xfId="7" applyNumberFormat="1" applyFont="1" applyFill="1" applyBorder="1" applyAlignment="1">
      <alignment vertical="center"/>
    </xf>
    <xf numFmtId="49" fontId="5" fillId="0" borderId="28" xfId="7" applyNumberFormat="1" applyFont="1" applyFill="1" applyBorder="1" applyAlignment="1">
      <alignment horizontal="left" vertical="center" wrapText="1"/>
    </xf>
    <xf numFmtId="1" fontId="5" fillId="0" borderId="57" xfId="7" applyNumberFormat="1" applyFont="1" applyFill="1" applyBorder="1" applyAlignment="1">
      <alignment vertical="center"/>
    </xf>
    <xf numFmtId="165" fontId="29" fillId="0" borderId="91" xfId="7" applyNumberFormat="1" applyFont="1" applyFill="1" applyBorder="1" applyAlignment="1">
      <alignment vertical="top"/>
    </xf>
    <xf numFmtId="165" fontId="29" fillId="0" borderId="53" xfId="7" applyNumberFormat="1" applyFont="1" applyFill="1" applyBorder="1" applyAlignment="1">
      <alignment vertical="top"/>
    </xf>
    <xf numFmtId="165" fontId="29" fillId="0" borderId="67" xfId="7" applyNumberFormat="1" applyFont="1" applyFill="1" applyBorder="1" applyAlignment="1">
      <alignment vertical="top"/>
    </xf>
    <xf numFmtId="165" fontId="29" fillId="0" borderId="22" xfId="7" applyNumberFormat="1" applyFont="1" applyFill="1" applyBorder="1" applyAlignment="1">
      <alignment vertical="top"/>
    </xf>
    <xf numFmtId="165" fontId="29" fillId="0" borderId="73" xfId="7" applyNumberFormat="1" applyFont="1" applyFill="1" applyBorder="1" applyAlignment="1">
      <alignment vertical="top"/>
    </xf>
    <xf numFmtId="165" fontId="29" fillId="0" borderId="34" xfId="7" applyNumberFormat="1" applyFont="1" applyFill="1" applyBorder="1" applyAlignment="1">
      <alignment vertical="top"/>
    </xf>
    <xf numFmtId="49" fontId="5" fillId="0" borderId="96" xfId="7" applyNumberFormat="1" applyFont="1" applyFill="1" applyBorder="1" applyAlignment="1">
      <alignment horizontal="left" vertical="center"/>
    </xf>
    <xf numFmtId="165" fontId="5" fillId="0" borderId="71" xfId="10" applyNumberFormat="1" applyFont="1" applyFill="1" applyBorder="1" applyAlignment="1">
      <alignment vertical="center"/>
    </xf>
    <xf numFmtId="165" fontId="5" fillId="0" borderId="71" xfId="7" applyNumberFormat="1" applyFont="1" applyFill="1" applyBorder="1" applyAlignment="1">
      <alignment horizontal="left" vertical="center" wrapText="1"/>
    </xf>
    <xf numFmtId="0" fontId="5" fillId="0" borderId="2" xfId="7" applyNumberFormat="1" applyFont="1" applyFill="1" applyBorder="1" applyAlignment="1">
      <alignment horizontal="right" vertical="center"/>
    </xf>
    <xf numFmtId="0" fontId="5" fillId="0" borderId="24" xfId="7" applyNumberFormat="1" applyFont="1" applyFill="1" applyBorder="1" applyAlignment="1">
      <alignment horizontal="right" vertical="center"/>
    </xf>
    <xf numFmtId="165" fontId="22" fillId="0" borderId="69" xfId="7" applyNumberFormat="1" applyFont="1" applyFill="1" applyBorder="1" applyAlignment="1">
      <alignment vertical="top"/>
    </xf>
    <xf numFmtId="165" fontId="22" fillId="0" borderId="71" xfId="7" applyNumberFormat="1" applyFont="1" applyFill="1" applyBorder="1" applyAlignment="1">
      <alignment vertical="top"/>
    </xf>
    <xf numFmtId="1" fontId="5" fillId="4" borderId="58" xfId="7" applyNumberFormat="1" applyFont="1" applyFill="1" applyBorder="1" applyAlignment="1">
      <alignment horizontal="right" vertical="center"/>
    </xf>
    <xf numFmtId="1" fontId="5" fillId="4" borderId="59" xfId="7" applyNumberFormat="1" applyFont="1" applyFill="1" applyBorder="1" applyAlignment="1">
      <alignment horizontal="right" vertical="center"/>
    </xf>
    <xf numFmtId="0" fontId="25" fillId="0" borderId="2" xfId="0" applyFont="1" applyFill="1" applyBorder="1" applyAlignment="1">
      <alignment vertical="center" wrapText="1"/>
    </xf>
    <xf numFmtId="0" fontId="5" fillId="4" borderId="2" xfId="8" applyFont="1" applyFill="1" applyBorder="1" applyAlignment="1">
      <alignment vertical="center"/>
    </xf>
    <xf numFmtId="0" fontId="5" fillId="4" borderId="23" xfId="8" applyFont="1" applyFill="1" applyBorder="1" applyAlignment="1">
      <alignment vertical="center"/>
    </xf>
    <xf numFmtId="0" fontId="25" fillId="0" borderId="24" xfId="0" applyFont="1" applyFill="1" applyBorder="1" applyAlignment="1">
      <alignment vertical="center" wrapText="1"/>
    </xf>
    <xf numFmtId="0" fontId="5" fillId="4" borderId="24" xfId="8" applyFont="1" applyFill="1" applyBorder="1" applyAlignment="1">
      <alignment vertical="center"/>
    </xf>
    <xf numFmtId="0" fontId="5" fillId="4" borderId="25" xfId="8" applyFont="1" applyFill="1" applyBorder="1" applyAlignment="1">
      <alignment vertical="center"/>
    </xf>
    <xf numFmtId="165" fontId="5" fillId="0" borderId="58" xfId="7" applyNumberFormat="1" applyFont="1" applyFill="1" applyBorder="1" applyAlignment="1">
      <alignment vertical="center" wrapText="1"/>
    </xf>
    <xf numFmtId="1" fontId="5" fillId="4" borderId="58" xfId="7" applyNumberFormat="1" applyFont="1" applyFill="1" applyBorder="1" applyAlignment="1">
      <alignment vertical="center"/>
    </xf>
    <xf numFmtId="1" fontId="5" fillId="4" borderId="59" xfId="7" applyNumberFormat="1" applyFont="1" applyFill="1" applyBorder="1" applyAlignment="1">
      <alignment vertical="center"/>
    </xf>
    <xf numFmtId="165" fontId="5" fillId="4" borderId="61" xfId="7" applyNumberFormat="1" applyFont="1" applyFill="1" applyBorder="1" applyAlignment="1">
      <alignment vertical="center"/>
    </xf>
    <xf numFmtId="165" fontId="5" fillId="4" borderId="12" xfId="7" applyNumberFormat="1" applyFont="1" applyFill="1" applyBorder="1" applyAlignment="1">
      <alignment vertical="center"/>
    </xf>
    <xf numFmtId="0" fontId="2" fillId="0" borderId="12" xfId="8" applyFont="1" applyFill="1" applyBorder="1" applyAlignment="1">
      <alignment vertical="center"/>
    </xf>
    <xf numFmtId="1" fontId="5" fillId="4" borderId="12" xfId="7" applyNumberFormat="1" applyFont="1" applyFill="1" applyBorder="1" applyAlignment="1">
      <alignment vertical="center"/>
    </xf>
    <xf numFmtId="1" fontId="5" fillId="4" borderId="57" xfId="7" applyNumberFormat="1" applyFont="1" applyFill="1" applyBorder="1" applyAlignment="1">
      <alignment vertical="center"/>
    </xf>
    <xf numFmtId="49" fontId="5" fillId="0" borderId="97" xfId="7" applyNumberFormat="1" applyFont="1" applyFill="1" applyBorder="1" applyAlignment="1">
      <alignment horizontal="center" vertical="center"/>
    </xf>
    <xf numFmtId="1" fontId="5" fillId="0" borderId="61" xfId="7" applyNumberFormat="1" applyFont="1" applyFill="1" applyBorder="1" applyAlignment="1">
      <alignment vertical="center" wrapText="1"/>
    </xf>
    <xf numFmtId="1" fontId="5" fillId="0" borderId="61" xfId="7" applyNumberFormat="1" applyFont="1" applyFill="1" applyBorder="1" applyAlignment="1">
      <alignment vertical="center"/>
    </xf>
    <xf numFmtId="1" fontId="5" fillId="0" borderId="80" xfId="7" applyNumberFormat="1" applyFont="1" applyFill="1" applyBorder="1" applyAlignment="1">
      <alignment vertical="center"/>
    </xf>
    <xf numFmtId="49" fontId="5" fillId="0" borderId="1" xfId="7" applyNumberFormat="1" applyFont="1" applyFill="1" applyBorder="1" applyAlignment="1">
      <alignment horizontal="center" vertical="center"/>
    </xf>
    <xf numFmtId="165" fontId="22" fillId="0" borderId="91" xfId="7" applyNumberFormat="1" applyFont="1" applyFill="1" applyBorder="1" applyAlignment="1">
      <alignment vertical="top"/>
    </xf>
    <xf numFmtId="165" fontId="22" fillId="0" borderId="53" xfId="7" applyNumberFormat="1" applyFont="1" applyFill="1" applyBorder="1" applyAlignment="1">
      <alignment vertical="top"/>
    </xf>
    <xf numFmtId="165" fontId="4" fillId="0" borderId="46" xfId="7" applyNumberFormat="1" applyFont="1" applyFill="1" applyBorder="1" applyAlignment="1">
      <alignment vertical="top"/>
    </xf>
    <xf numFmtId="165" fontId="22" fillId="0" borderId="46" xfId="7" applyNumberFormat="1" applyFont="1" applyFill="1" applyBorder="1" applyAlignment="1">
      <alignment vertical="top"/>
    </xf>
    <xf numFmtId="0" fontId="5" fillId="0" borderId="86" xfId="0" applyFont="1" applyFill="1" applyBorder="1" applyAlignment="1">
      <alignment horizontal="left" vertical="center"/>
    </xf>
    <xf numFmtId="0" fontId="5" fillId="0" borderId="53" xfId="0" applyFont="1" applyFill="1" applyBorder="1" applyAlignment="1">
      <alignment vertical="center"/>
    </xf>
    <xf numFmtId="2" fontId="5" fillId="0" borderId="53" xfId="0" applyNumberFormat="1" applyFont="1" applyFill="1" applyBorder="1" applyAlignment="1">
      <alignment horizontal="right" vertical="center"/>
    </xf>
    <xf numFmtId="165" fontId="5" fillId="0" borderId="53" xfId="7" applyNumberFormat="1" applyFont="1" applyFill="1" applyBorder="1" applyAlignment="1">
      <alignment horizontal="left" vertical="center" wrapText="1"/>
    </xf>
    <xf numFmtId="1" fontId="5" fillId="0" borderId="53" xfId="10" applyNumberFormat="1" applyFont="1" applyFill="1" applyBorder="1" applyAlignment="1">
      <alignment vertical="center"/>
    </xf>
    <xf numFmtId="1" fontId="5" fillId="0" borderId="46" xfId="10" applyNumberFormat="1" applyFont="1" applyFill="1" applyBorder="1" applyAlignment="1">
      <alignment vertical="center"/>
    </xf>
    <xf numFmtId="165" fontId="29" fillId="0" borderId="29" xfId="7" applyNumberFormat="1" applyFont="1" applyFill="1" applyBorder="1" applyAlignment="1">
      <alignment vertical="top"/>
    </xf>
    <xf numFmtId="165" fontId="4" fillId="0" borderId="46" xfId="7" applyNumberFormat="1" applyFont="1" applyFill="1" applyBorder="1"/>
    <xf numFmtId="0" fontId="31" fillId="0" borderId="76" xfId="3" applyFont="1" applyFill="1" applyBorder="1" applyAlignment="1">
      <alignment horizontal="right" vertical="top"/>
    </xf>
    <xf numFmtId="165" fontId="29" fillId="0" borderId="67" xfId="7" applyNumberFormat="1" applyFont="1" applyFill="1" applyBorder="1" applyAlignment="1">
      <alignment horizontal="right" vertical="top"/>
    </xf>
    <xf numFmtId="165" fontId="29" fillId="0" borderId="22" xfId="7" applyNumberFormat="1" applyFont="1" applyFill="1" applyBorder="1" applyAlignment="1">
      <alignment horizontal="right" vertical="top"/>
    </xf>
    <xf numFmtId="49" fontId="5" fillId="0" borderId="58" xfId="7" applyNumberFormat="1" applyFont="1" applyFill="1" applyBorder="1" applyAlignment="1">
      <alignment horizontal="left" vertical="center"/>
    </xf>
    <xf numFmtId="49" fontId="5" fillId="0" borderId="58" xfId="7" applyNumberFormat="1" applyFont="1" applyFill="1" applyBorder="1" applyAlignment="1">
      <alignment horizontal="center" vertical="center"/>
    </xf>
    <xf numFmtId="165" fontId="5" fillId="0" borderId="58" xfId="7" applyNumberFormat="1" applyFont="1" applyFill="1" applyBorder="1" applyAlignment="1">
      <alignment horizontal="right" vertical="center"/>
    </xf>
    <xf numFmtId="49" fontId="5" fillId="0" borderId="71" xfId="0" applyNumberFormat="1" applyFont="1" applyFill="1" applyBorder="1" applyAlignment="1">
      <alignment horizontal="left" vertical="center"/>
    </xf>
    <xf numFmtId="49" fontId="5" fillId="0" borderId="13" xfId="0" applyNumberFormat="1" applyFont="1" applyFill="1" applyBorder="1" applyAlignment="1">
      <alignment horizontal="left" vertical="center"/>
    </xf>
    <xf numFmtId="49" fontId="5" fillId="0" borderId="13" xfId="7" applyNumberFormat="1" applyFont="1" applyFill="1" applyBorder="1" applyAlignment="1">
      <alignment horizontal="center" vertical="center"/>
    </xf>
    <xf numFmtId="165" fontId="5" fillId="0" borderId="12" xfId="7" applyNumberFormat="1" applyFont="1" applyFill="1" applyBorder="1" applyAlignment="1">
      <alignment horizontal="right" vertical="center"/>
    </xf>
    <xf numFmtId="165" fontId="5" fillId="0" borderId="71" xfId="7" applyNumberFormat="1" applyFont="1" applyFill="1" applyBorder="1" applyAlignment="1">
      <alignment horizontal="right" vertical="center"/>
    </xf>
    <xf numFmtId="49" fontId="5" fillId="0" borderId="58" xfId="0" applyNumberFormat="1" applyFont="1" applyFill="1" applyBorder="1" applyAlignment="1">
      <alignment horizontal="left" vertical="center"/>
    </xf>
    <xf numFmtId="165" fontId="5" fillId="0" borderId="13" xfId="7" applyNumberFormat="1" applyFont="1" applyFill="1" applyBorder="1" applyAlignment="1">
      <alignment horizontal="right" vertical="center"/>
    </xf>
    <xf numFmtId="49" fontId="5" fillId="0" borderId="2" xfId="7" applyNumberFormat="1" applyFont="1" applyFill="1" applyBorder="1" applyAlignment="1">
      <alignment horizontal="center" vertical="center"/>
    </xf>
    <xf numFmtId="49" fontId="5" fillId="0" borderId="71" xfId="7" applyNumberFormat="1" applyFont="1" applyFill="1" applyBorder="1" applyAlignment="1">
      <alignment horizontal="center" vertical="center"/>
    </xf>
    <xf numFmtId="165" fontId="5" fillId="0" borderId="2" xfId="7" applyNumberFormat="1" applyFont="1" applyFill="1" applyBorder="1" applyAlignment="1">
      <alignment horizontal="right" vertical="center"/>
    </xf>
    <xf numFmtId="49" fontId="5" fillId="0" borderId="13" xfId="7" applyNumberFormat="1" applyFont="1" applyFill="1" applyBorder="1" applyAlignment="1">
      <alignment horizontal="left" vertical="center"/>
    </xf>
    <xf numFmtId="49" fontId="5" fillId="0" borderId="58" xfId="7" applyNumberFormat="1" applyFont="1" applyFill="1" applyBorder="1" applyAlignment="1">
      <alignment horizontal="left" vertical="center" wrapText="1"/>
    </xf>
    <xf numFmtId="49" fontId="5" fillId="0" borderId="71" xfId="0" applyNumberFormat="1" applyFont="1" applyFill="1" applyBorder="1" applyAlignment="1">
      <alignment vertical="center"/>
    </xf>
    <xf numFmtId="0" fontId="13" fillId="0" borderId="90" xfId="3" applyFont="1" applyFill="1" applyBorder="1" applyAlignment="1">
      <alignment horizontal="right" vertical="top"/>
    </xf>
    <xf numFmtId="0" fontId="5" fillId="0" borderId="71" xfId="7" applyNumberFormat="1" applyFont="1" applyFill="1" applyBorder="1" applyAlignment="1">
      <alignment horizontal="right" vertical="center"/>
    </xf>
    <xf numFmtId="49" fontId="5" fillId="0" borderId="71" xfId="7" applyNumberFormat="1" applyFont="1" applyFill="1" applyBorder="1" applyAlignment="1">
      <alignment horizontal="left" vertical="center"/>
    </xf>
    <xf numFmtId="49" fontId="5" fillId="0" borderId="61" xfId="7" applyNumberFormat="1" applyFont="1" applyFill="1" applyBorder="1" applyAlignment="1">
      <alignment horizontal="left" vertical="center"/>
    </xf>
    <xf numFmtId="1" fontId="5" fillId="0" borderId="61" xfId="7" applyNumberFormat="1" applyFont="1" applyFill="1" applyBorder="1" applyAlignment="1">
      <alignment vertical="center"/>
    </xf>
    <xf numFmtId="165" fontId="5" fillId="0" borderId="61" xfId="7" applyNumberFormat="1" applyFont="1" applyFill="1" applyBorder="1" applyAlignment="1">
      <alignment vertical="center"/>
    </xf>
    <xf numFmtId="49" fontId="5" fillId="0" borderId="12" xfId="7" applyNumberFormat="1" applyFont="1" applyFill="1" applyBorder="1" applyAlignment="1">
      <alignment horizontal="left" vertical="center"/>
    </xf>
    <xf numFmtId="165" fontId="5" fillId="0" borderId="58" xfId="7" applyNumberFormat="1" applyFont="1" applyFill="1" applyBorder="1" applyAlignment="1">
      <alignment vertical="center"/>
    </xf>
    <xf numFmtId="0" fontId="5" fillId="0" borderId="13" xfId="0" applyNumberFormat="1" applyFont="1" applyFill="1" applyBorder="1" applyAlignment="1">
      <alignment vertical="center"/>
    </xf>
    <xf numFmtId="0" fontId="5" fillId="0" borderId="71" xfId="0" applyNumberFormat="1" applyFont="1" applyFill="1" applyBorder="1" applyAlignment="1">
      <alignment vertical="center"/>
    </xf>
    <xf numFmtId="165" fontId="5" fillId="0" borderId="61" xfId="7" applyNumberFormat="1" applyFont="1" applyFill="1" applyBorder="1" applyAlignment="1">
      <alignment horizontal="right" vertical="center"/>
    </xf>
    <xf numFmtId="49" fontId="5" fillId="0" borderId="71" xfId="0" applyNumberFormat="1" applyFont="1" applyFill="1" applyBorder="1" applyAlignment="1">
      <alignment horizontal="left" vertical="center" wrapText="1"/>
    </xf>
    <xf numFmtId="165" fontId="5" fillId="0" borderId="13" xfId="7" applyNumberFormat="1" applyFont="1" applyFill="1" applyBorder="1" applyAlignment="1">
      <alignment vertical="center"/>
    </xf>
    <xf numFmtId="0" fontId="5" fillId="0" borderId="12" xfId="0" applyFont="1" applyBorder="1" applyAlignment="1">
      <alignment vertical="center"/>
    </xf>
    <xf numFmtId="49" fontId="5" fillId="0" borderId="61" xfId="0" applyNumberFormat="1" applyFont="1" applyFill="1" applyBorder="1" applyAlignment="1">
      <alignment horizontal="left" vertical="center"/>
    </xf>
    <xf numFmtId="49" fontId="5" fillId="0" borderId="61" xfId="7" applyNumberFormat="1" applyFont="1" applyFill="1" applyBorder="1" applyAlignment="1">
      <alignment horizontal="center" vertical="center"/>
    </xf>
    <xf numFmtId="49" fontId="5" fillId="0" borderId="12" xfId="0" applyNumberFormat="1" applyFont="1" applyFill="1" applyBorder="1" applyAlignment="1">
      <alignment horizontal="left" vertical="center"/>
    </xf>
    <xf numFmtId="49" fontId="5" fillId="0" borderId="12" xfId="7" applyNumberFormat="1" applyFont="1" applyFill="1" applyBorder="1" applyAlignment="1">
      <alignment horizontal="center" vertical="center"/>
    </xf>
    <xf numFmtId="165" fontId="5" fillId="0" borderId="12" xfId="7" applyNumberFormat="1" applyFont="1" applyFill="1" applyBorder="1" applyAlignment="1">
      <alignment vertical="center"/>
    </xf>
    <xf numFmtId="165" fontId="5" fillId="0" borderId="2" xfId="7" applyNumberFormat="1" applyFont="1" applyFill="1" applyBorder="1" applyAlignment="1">
      <alignment vertical="center"/>
    </xf>
    <xf numFmtId="1" fontId="5" fillId="0" borderId="12" xfId="7" applyNumberFormat="1" applyFont="1" applyFill="1" applyBorder="1" applyAlignment="1">
      <alignment vertical="center"/>
    </xf>
    <xf numFmtId="1" fontId="5" fillId="0" borderId="58" xfId="7" applyNumberFormat="1" applyFont="1" applyFill="1" applyBorder="1" applyAlignment="1">
      <alignment vertical="center"/>
    </xf>
    <xf numFmtId="49" fontId="5" fillId="0" borderId="58" xfId="7" applyNumberFormat="1" applyFont="1" applyFill="1" applyBorder="1" applyAlignment="1">
      <alignment vertical="center"/>
    </xf>
    <xf numFmtId="49" fontId="5" fillId="0" borderId="29" xfId="7" applyNumberFormat="1" applyFont="1" applyFill="1" applyBorder="1" applyAlignment="1">
      <alignment vertical="center"/>
    </xf>
    <xf numFmtId="9" fontId="5" fillId="0" borderId="61" xfId="10" applyFont="1" applyFill="1" applyBorder="1" applyAlignment="1">
      <alignment vertical="center"/>
    </xf>
    <xf numFmtId="9" fontId="5" fillId="0" borderId="80" xfId="10" applyFont="1" applyFill="1" applyBorder="1" applyAlignment="1">
      <alignment vertical="center"/>
    </xf>
    <xf numFmtId="165" fontId="4" fillId="0" borderId="41" xfId="7" applyNumberFormat="1" applyFont="1" applyFill="1" applyBorder="1" applyAlignment="1">
      <alignment vertical="top"/>
    </xf>
    <xf numFmtId="165" fontId="4" fillId="0" borderId="55" xfId="7" applyNumberFormat="1" applyFont="1" applyFill="1" applyBorder="1" applyAlignment="1">
      <alignment vertical="top"/>
    </xf>
    <xf numFmtId="1" fontId="5" fillId="0" borderId="59" xfId="7" applyNumberFormat="1" applyFont="1" applyFill="1" applyBorder="1" applyAlignment="1">
      <alignment vertical="center"/>
    </xf>
    <xf numFmtId="49" fontId="5" fillId="0" borderId="24" xfId="7" applyNumberFormat="1" applyFont="1" applyFill="1" applyBorder="1" applyAlignment="1">
      <alignment vertical="center"/>
    </xf>
    <xf numFmtId="1" fontId="5" fillId="0" borderId="25" xfId="7" applyNumberFormat="1" applyFont="1" applyFill="1" applyBorder="1" applyAlignment="1">
      <alignment vertical="center"/>
    </xf>
    <xf numFmtId="49" fontId="5" fillId="0" borderId="2" xfId="7" applyNumberFormat="1" applyFont="1" applyFill="1" applyBorder="1" applyAlignment="1">
      <alignment vertical="center"/>
    </xf>
    <xf numFmtId="49" fontId="5" fillId="0" borderId="2" xfId="7" applyNumberFormat="1" applyFont="1" applyFill="1" applyBorder="1" applyAlignment="1">
      <alignment vertical="center" wrapText="1"/>
    </xf>
    <xf numFmtId="1" fontId="5" fillId="0" borderId="61" xfId="7" applyNumberFormat="1" applyFont="1" applyFill="1" applyBorder="1" applyAlignment="1">
      <alignment horizontal="right" vertical="center"/>
    </xf>
    <xf numFmtId="1" fontId="5" fillId="0" borderId="61" xfId="0" applyNumberFormat="1" applyFont="1" applyFill="1" applyBorder="1" applyAlignment="1">
      <alignment horizontal="left" vertical="center" wrapText="1"/>
    </xf>
    <xf numFmtId="1" fontId="5" fillId="0" borderId="59" xfId="7" applyNumberFormat="1" applyFont="1" applyFill="1" applyBorder="1" applyAlignment="1">
      <alignment vertical="center" wrapText="1"/>
    </xf>
    <xf numFmtId="1" fontId="5" fillId="0" borderId="23" xfId="7" applyNumberFormat="1" applyFont="1" applyFill="1" applyBorder="1" applyAlignment="1">
      <alignment vertical="center" wrapText="1"/>
    </xf>
    <xf numFmtId="1" fontId="5" fillId="0" borderId="25" xfId="7" applyNumberFormat="1" applyFont="1" applyFill="1" applyBorder="1" applyAlignment="1">
      <alignment vertical="center" wrapText="1"/>
    </xf>
    <xf numFmtId="1" fontId="5" fillId="0" borderId="56" xfId="7" applyNumberFormat="1" applyFont="1" applyFill="1" applyBorder="1" applyAlignment="1">
      <alignment vertical="center" wrapText="1"/>
    </xf>
    <xf numFmtId="1" fontId="5" fillId="0" borderId="57" xfId="7" applyNumberFormat="1" applyFont="1" applyFill="1" applyBorder="1" applyAlignment="1">
      <alignment vertical="center" wrapText="1"/>
    </xf>
    <xf numFmtId="1" fontId="5" fillId="0" borderId="12" xfId="0" applyNumberFormat="1" applyFont="1" applyFill="1" applyBorder="1" applyAlignment="1">
      <alignment horizontal="left" vertical="center"/>
    </xf>
    <xf numFmtId="1" fontId="5" fillId="0" borderId="57" xfId="0" applyNumberFormat="1" applyFont="1" applyFill="1" applyBorder="1" applyAlignment="1">
      <alignment horizontal="right" vertical="center"/>
    </xf>
    <xf numFmtId="1" fontId="5" fillId="0" borderId="13" xfId="0" applyNumberFormat="1" applyFont="1" applyFill="1" applyBorder="1" applyAlignment="1">
      <alignment horizontal="left" vertical="center"/>
    </xf>
    <xf numFmtId="1" fontId="5" fillId="0" borderId="12" xfId="0" applyNumberFormat="1" applyFont="1" applyFill="1" applyBorder="1" applyAlignment="1">
      <alignment horizontal="left" vertical="center" wrapText="1"/>
    </xf>
    <xf numFmtId="1" fontId="5" fillId="0" borderId="80" xfId="0" applyNumberFormat="1" applyFont="1" applyFill="1" applyBorder="1" applyAlignment="1">
      <alignment horizontal="right" vertical="center"/>
    </xf>
    <xf numFmtId="0" fontId="5" fillId="0" borderId="61" xfId="7" applyNumberFormat="1" applyFont="1" applyFill="1" applyBorder="1" applyAlignment="1">
      <alignment horizontal="right" vertical="center" wrapText="1"/>
    </xf>
    <xf numFmtId="0" fontId="5" fillId="0" borderId="80" xfId="7" applyNumberFormat="1" applyFont="1" applyFill="1" applyBorder="1" applyAlignment="1">
      <alignment horizontal="right" vertical="center" wrapText="1"/>
    </xf>
    <xf numFmtId="1" fontId="5" fillId="0" borderId="61" xfId="0" applyNumberFormat="1" applyFont="1" applyFill="1" applyBorder="1" applyAlignment="1">
      <alignment horizontal="left" vertical="center"/>
    </xf>
    <xf numFmtId="165" fontId="4" fillId="0" borderId="77" xfId="7" applyNumberFormat="1" applyFont="1" applyFill="1" applyBorder="1" applyAlignment="1">
      <alignment vertical="top"/>
    </xf>
    <xf numFmtId="165" fontId="4" fillId="0" borderId="62" xfId="7" applyNumberFormat="1" applyFont="1" applyFill="1" applyBorder="1" applyAlignment="1">
      <alignment vertical="top"/>
    </xf>
    <xf numFmtId="165" fontId="4" fillId="0" borderId="91" xfId="0" applyNumberFormat="1" applyFont="1" applyFill="1" applyBorder="1" applyAlignment="1">
      <alignment vertical="top"/>
    </xf>
    <xf numFmtId="165" fontId="4" fillId="0" borderId="73" xfId="7" applyNumberFormat="1" applyFont="1" applyFill="1" applyBorder="1" applyAlignment="1">
      <alignment vertical="top"/>
    </xf>
    <xf numFmtId="1" fontId="5" fillId="0" borderId="59" xfId="0" applyNumberFormat="1" applyFont="1" applyFill="1" applyBorder="1" applyAlignment="1">
      <alignment horizontal="right" vertical="center"/>
    </xf>
    <xf numFmtId="1" fontId="5" fillId="0" borderId="23" xfId="0" applyNumberFormat="1" applyFont="1" applyFill="1" applyBorder="1" applyAlignment="1">
      <alignment horizontal="right" vertical="center"/>
    </xf>
    <xf numFmtId="165" fontId="5" fillId="0" borderId="13" xfId="0" applyNumberFormat="1" applyFont="1" applyFill="1" applyBorder="1" applyAlignment="1">
      <alignment horizontal="left" vertical="center" wrapText="1"/>
    </xf>
    <xf numFmtId="165" fontId="5" fillId="0" borderId="2" xfId="0" applyNumberFormat="1" applyFont="1" applyFill="1" applyBorder="1" applyAlignment="1">
      <alignment horizontal="left" vertical="center" wrapText="1"/>
    </xf>
    <xf numFmtId="165" fontId="5" fillId="0" borderId="24" xfId="0" applyNumberFormat="1" applyFont="1" applyFill="1" applyBorder="1" applyAlignment="1">
      <alignment horizontal="left" vertical="center" wrapText="1"/>
    </xf>
    <xf numFmtId="165" fontId="4" fillId="0" borderId="78" xfId="7" applyNumberFormat="1" applyFont="1" applyFill="1" applyBorder="1" applyAlignment="1">
      <alignment vertical="top"/>
    </xf>
    <xf numFmtId="165" fontId="4" fillId="0" borderId="1" xfId="7" applyNumberFormat="1" applyFont="1" applyFill="1" applyBorder="1" applyAlignment="1">
      <alignment vertical="top"/>
    </xf>
    <xf numFmtId="165" fontId="4" fillId="0" borderId="53" xfId="0" applyNumberFormat="1" applyFont="1" applyFill="1" applyBorder="1" applyAlignment="1">
      <alignment vertical="top"/>
    </xf>
    <xf numFmtId="49" fontId="5" fillId="0" borderId="61" xfId="7" applyNumberFormat="1" applyFont="1" applyFill="1" applyBorder="1" applyAlignment="1">
      <alignment vertical="center"/>
    </xf>
    <xf numFmtId="1" fontId="5" fillId="0" borderId="80" xfId="7" applyNumberFormat="1" applyFont="1" applyFill="1" applyBorder="1" applyAlignment="1">
      <alignment horizontal="right" vertical="center"/>
    </xf>
    <xf numFmtId="165" fontId="5" fillId="0" borderId="0" xfId="7" applyNumberFormat="1" applyFont="1" applyFill="1" applyBorder="1" applyAlignment="1">
      <alignment vertical="center"/>
    </xf>
    <xf numFmtId="165" fontId="5" fillId="0" borderId="1" xfId="7" applyNumberFormat="1" applyFont="1" applyFill="1" applyBorder="1" applyAlignment="1">
      <alignment vertical="center"/>
    </xf>
    <xf numFmtId="49" fontId="5" fillId="0" borderId="13" xfId="7" applyNumberFormat="1" applyFont="1" applyFill="1" applyBorder="1" applyAlignment="1">
      <alignment vertical="center" wrapText="1"/>
    </xf>
    <xf numFmtId="1" fontId="5" fillId="4" borderId="61" xfId="7" applyNumberFormat="1" applyFont="1" applyFill="1" applyBorder="1" applyAlignment="1">
      <alignment vertical="center"/>
    </xf>
    <xf numFmtId="1" fontId="5" fillId="4" borderId="80" xfId="7" applyNumberFormat="1" applyFont="1" applyFill="1" applyBorder="1" applyAlignment="1">
      <alignment vertical="center"/>
    </xf>
    <xf numFmtId="49" fontId="5" fillId="0" borderId="26" xfId="7" applyNumberFormat="1" applyFont="1" applyFill="1" applyBorder="1" applyAlignment="1">
      <alignment vertical="center"/>
    </xf>
    <xf numFmtId="49" fontId="5" fillId="0" borderId="13" xfId="7" applyNumberFormat="1" applyFont="1" applyFill="1" applyBorder="1" applyAlignment="1">
      <alignment vertical="center"/>
    </xf>
    <xf numFmtId="49" fontId="5" fillId="0" borderId="13" xfId="7" applyNumberFormat="1" applyFont="1" applyFill="1" applyBorder="1" applyAlignment="1">
      <alignment horizontal="left" vertical="center" wrapText="1"/>
    </xf>
    <xf numFmtId="0" fontId="5" fillId="0" borderId="13" xfId="7" applyNumberFormat="1" applyFont="1" applyFill="1" applyBorder="1" applyAlignment="1">
      <alignment horizontal="right" vertical="center" wrapText="1"/>
    </xf>
    <xf numFmtId="0" fontId="5" fillId="0" borderId="56" xfId="7" applyNumberFormat="1" applyFont="1" applyFill="1" applyBorder="1" applyAlignment="1">
      <alignment horizontal="right" vertical="center" wrapText="1"/>
    </xf>
    <xf numFmtId="49" fontId="5" fillId="0" borderId="73" xfId="7" applyNumberFormat="1" applyFont="1" applyFill="1" applyBorder="1" applyAlignment="1">
      <alignment vertical="center"/>
    </xf>
    <xf numFmtId="1" fontId="5" fillId="0" borderId="22" xfId="7" applyNumberFormat="1" applyFont="1" applyFill="1" applyBorder="1" applyAlignment="1">
      <alignment vertical="center" wrapText="1"/>
    </xf>
    <xf numFmtId="1" fontId="5" fillId="0" borderId="22" xfId="7" applyNumberFormat="1" applyFont="1" applyFill="1" applyBorder="1" applyAlignment="1">
      <alignment vertical="center"/>
    </xf>
    <xf numFmtId="1" fontId="5" fillId="0" borderId="92" xfId="7" applyNumberFormat="1" applyFont="1" applyFill="1" applyBorder="1" applyAlignment="1">
      <alignment vertical="center"/>
    </xf>
    <xf numFmtId="165" fontId="4" fillId="0" borderId="17" xfId="0" applyNumberFormat="1" applyFont="1" applyFill="1" applyBorder="1" applyAlignment="1">
      <alignment vertical="top"/>
    </xf>
    <xf numFmtId="165" fontId="4" fillId="0" borderId="2" xfId="0" applyNumberFormat="1" applyFont="1" applyFill="1" applyBorder="1" applyAlignment="1">
      <alignment vertical="top"/>
    </xf>
    <xf numFmtId="165" fontId="4" fillId="0" borderId="67" xfId="7" applyNumberFormat="1" applyFont="1" applyFill="1" applyBorder="1" applyAlignment="1">
      <alignment vertical="top"/>
    </xf>
    <xf numFmtId="165" fontId="4" fillId="0" borderId="22" xfId="7" applyNumberFormat="1" applyFont="1" applyFill="1" applyBorder="1" applyAlignment="1">
      <alignment vertical="top"/>
    </xf>
    <xf numFmtId="0" fontId="5" fillId="0" borderId="61" xfId="7" applyNumberFormat="1" applyFont="1" applyFill="1" applyBorder="1" applyAlignment="1">
      <alignment horizontal="right" vertical="center"/>
    </xf>
    <xf numFmtId="165" fontId="5" fillId="0" borderId="26" xfId="7" applyNumberFormat="1" applyFont="1" applyFill="1" applyBorder="1" applyAlignment="1">
      <alignment vertical="center"/>
    </xf>
    <xf numFmtId="165" fontId="5" fillId="0" borderId="56" xfId="7" applyNumberFormat="1" applyFont="1" applyFill="1" applyBorder="1" applyAlignment="1">
      <alignment vertical="center"/>
    </xf>
    <xf numFmtId="165" fontId="5" fillId="0" borderId="16" xfId="7" applyNumberFormat="1" applyFont="1" applyFill="1" applyBorder="1" applyAlignment="1">
      <alignment vertical="center"/>
    </xf>
    <xf numFmtId="165" fontId="5" fillId="0" borderId="23" xfId="7" applyNumberFormat="1" applyFont="1" applyFill="1" applyBorder="1" applyAlignment="1">
      <alignment vertical="center"/>
    </xf>
    <xf numFmtId="165" fontId="5" fillId="0" borderId="28" xfId="7" applyNumberFormat="1" applyFont="1" applyFill="1" applyBorder="1" applyAlignment="1">
      <alignment vertical="center" wrapText="1"/>
    </xf>
    <xf numFmtId="165" fontId="5" fillId="0" borderId="57" xfId="7" applyNumberFormat="1" applyFont="1" applyFill="1" applyBorder="1" applyAlignment="1">
      <alignment vertical="center"/>
    </xf>
    <xf numFmtId="0" fontId="5" fillId="0" borderId="61" xfId="0" applyFont="1" applyFill="1" applyBorder="1" applyAlignment="1">
      <alignment vertical="center"/>
    </xf>
    <xf numFmtId="0" fontId="5" fillId="0" borderId="61" xfId="0" applyFont="1" applyFill="1" applyBorder="1" applyAlignment="1">
      <alignment horizontal="center" vertical="center"/>
    </xf>
    <xf numFmtId="0" fontId="5" fillId="0" borderId="58" xfId="0" applyFont="1" applyFill="1" applyBorder="1" applyAlignment="1">
      <alignment horizontal="left" vertical="center" wrapText="1"/>
    </xf>
    <xf numFmtId="0" fontId="5" fillId="0" borderId="61" xfId="0" applyFont="1" applyFill="1" applyBorder="1" applyAlignment="1">
      <alignment horizontal="left" vertical="center" wrapText="1"/>
    </xf>
    <xf numFmtId="0" fontId="5" fillId="0" borderId="24" xfId="0" applyFont="1" applyFill="1" applyBorder="1" applyAlignment="1">
      <alignment vertical="center"/>
    </xf>
    <xf numFmtId="0" fontId="5" fillId="0" borderId="25" xfId="0" applyFont="1" applyFill="1" applyBorder="1" applyAlignment="1">
      <alignment vertical="center"/>
    </xf>
    <xf numFmtId="165" fontId="4" fillId="0" borderId="44" xfId="7" applyNumberFormat="1" applyFont="1" applyFill="1" applyBorder="1" applyAlignment="1">
      <alignment vertical="top"/>
    </xf>
    <xf numFmtId="165" fontId="4" fillId="0" borderId="91" xfId="0" applyNumberFormat="1" applyFont="1" applyFill="1" applyBorder="1" applyAlignment="1">
      <alignment horizontal="right" vertical="top"/>
    </xf>
    <xf numFmtId="165" fontId="4" fillId="0" borderId="53" xfId="0" applyNumberFormat="1" applyFont="1" applyFill="1" applyBorder="1" applyAlignment="1">
      <alignment horizontal="right" vertical="top"/>
    </xf>
    <xf numFmtId="165" fontId="4" fillId="0" borderId="60" xfId="7" applyNumberFormat="1" applyFont="1" applyFill="1" applyBorder="1" applyAlignment="1">
      <alignment vertical="top"/>
    </xf>
    <xf numFmtId="49" fontId="5" fillId="0" borderId="24" xfId="7" applyNumberFormat="1" applyFont="1" applyFill="1" applyBorder="1" applyAlignment="1">
      <alignment vertical="center" wrapText="1"/>
    </xf>
    <xf numFmtId="1" fontId="5" fillId="4" borderId="24" xfId="7" applyNumberFormat="1" applyFont="1" applyFill="1" applyBorder="1" applyAlignment="1">
      <alignment vertical="center"/>
    </xf>
    <xf numFmtId="1" fontId="5" fillId="4" borderId="25" xfId="7" applyNumberFormat="1" applyFont="1" applyFill="1" applyBorder="1" applyAlignment="1">
      <alignment vertical="center"/>
    </xf>
    <xf numFmtId="0" fontId="5" fillId="0" borderId="71" xfId="7" applyNumberFormat="1" applyFont="1" applyFill="1" applyBorder="1" applyAlignment="1">
      <alignment horizontal="right" vertical="center" wrapText="1"/>
    </xf>
    <xf numFmtId="0" fontId="5" fillId="0" borderId="79" xfId="7" applyNumberFormat="1" applyFont="1" applyFill="1" applyBorder="1" applyAlignment="1">
      <alignment horizontal="right" vertical="center" wrapText="1"/>
    </xf>
    <xf numFmtId="165" fontId="5" fillId="0" borderId="15" xfId="7" applyNumberFormat="1" applyFont="1" applyFill="1" applyBorder="1" applyAlignment="1">
      <alignment vertical="center"/>
    </xf>
    <xf numFmtId="165" fontId="5" fillId="0" borderId="62" xfId="7" applyNumberFormat="1" applyFont="1" applyFill="1" applyBorder="1" applyAlignment="1">
      <alignment vertical="center"/>
    </xf>
    <xf numFmtId="0" fontId="5" fillId="0" borderId="53" xfId="0" applyFont="1" applyFill="1" applyBorder="1" applyAlignment="1">
      <alignment horizontal="center" vertical="center"/>
    </xf>
    <xf numFmtId="49" fontId="5" fillId="0" borderId="72" xfId="7" applyNumberFormat="1" applyFont="1" applyFill="1" applyBorder="1" applyAlignment="1">
      <alignment vertical="center"/>
    </xf>
    <xf numFmtId="3" fontId="2" fillId="0" borderId="58" xfId="1" applyNumberFormat="1" applyFont="1" applyFill="1" applyBorder="1" applyAlignment="1">
      <alignment horizontal="right" vertical="center"/>
    </xf>
    <xf numFmtId="3" fontId="2" fillId="0" borderId="59" xfId="1" applyNumberFormat="1" applyFont="1" applyFill="1" applyBorder="1" applyAlignment="1">
      <alignment horizontal="right" vertical="center"/>
    </xf>
    <xf numFmtId="49" fontId="5" fillId="0" borderId="54" xfId="7" applyNumberFormat="1" applyFont="1" applyFill="1" applyBorder="1" applyAlignment="1">
      <alignment vertical="center"/>
    </xf>
    <xf numFmtId="0" fontId="5" fillId="0" borderId="24" xfId="0" applyFont="1" applyFill="1" applyBorder="1" applyAlignment="1">
      <alignment vertical="center" wrapText="1"/>
    </xf>
    <xf numFmtId="3" fontId="2" fillId="0" borderId="2" xfId="1" applyNumberFormat="1" applyFont="1" applyFill="1" applyBorder="1" applyAlignment="1">
      <alignment horizontal="right" vertical="center"/>
    </xf>
    <xf numFmtId="3" fontId="2" fillId="0" borderId="23" xfId="1" applyNumberFormat="1" applyFont="1" applyFill="1" applyBorder="1" applyAlignment="1">
      <alignment horizontal="right" vertical="center"/>
    </xf>
    <xf numFmtId="165" fontId="4" fillId="0" borderId="98" xfId="7" applyNumberFormat="1" applyFont="1" applyFill="1" applyBorder="1" applyAlignment="1">
      <alignment vertical="top"/>
    </xf>
    <xf numFmtId="165" fontId="4" fillId="0" borderId="34" xfId="7" applyNumberFormat="1" applyFont="1" applyFill="1" applyBorder="1" applyAlignment="1">
      <alignment vertical="top"/>
    </xf>
    <xf numFmtId="49" fontId="5" fillId="0" borderId="26" xfId="7" applyNumberFormat="1" applyFont="1" applyFill="1" applyBorder="1" applyAlignment="1">
      <alignment horizontal="left" vertical="center"/>
    </xf>
    <xf numFmtId="165" fontId="5" fillId="0" borderId="30" xfId="7" applyNumberFormat="1" applyFont="1" applyFill="1" applyBorder="1" applyAlignment="1">
      <alignment vertical="center"/>
    </xf>
    <xf numFmtId="3" fontId="5" fillId="0" borderId="13" xfId="1" applyNumberFormat="1" applyFont="1" applyFill="1" applyBorder="1" applyAlignment="1">
      <alignment horizontal="left" vertical="center" wrapText="1"/>
    </xf>
    <xf numFmtId="165" fontId="5" fillId="0" borderId="58" xfId="8" applyNumberFormat="1" applyFont="1" applyFill="1" applyBorder="1" applyAlignment="1">
      <alignment horizontal="right" vertical="center"/>
    </xf>
    <xf numFmtId="169" fontId="5" fillId="4" borderId="58" xfId="7" applyNumberFormat="1" applyFont="1" applyFill="1" applyBorder="1" applyAlignment="1">
      <alignment horizontal="center" vertical="center"/>
    </xf>
    <xf numFmtId="165" fontId="5" fillId="4" borderId="58" xfId="7" applyNumberFormat="1" applyFont="1" applyFill="1" applyBorder="1" applyAlignment="1">
      <alignment horizontal="center" vertical="center"/>
    </xf>
    <xf numFmtId="49" fontId="5" fillId="0" borderId="2" xfId="7" applyNumberFormat="1" applyFont="1" applyFill="1" applyBorder="1" applyAlignment="1">
      <alignment horizontal="left" vertical="center"/>
    </xf>
    <xf numFmtId="165" fontId="5" fillId="4" borderId="58" xfId="7" applyNumberFormat="1" applyFont="1" applyFill="1" applyBorder="1" applyAlignment="1">
      <alignment vertical="center"/>
    </xf>
    <xf numFmtId="1" fontId="5" fillId="4" borderId="13" xfId="7" applyNumberFormat="1" applyFont="1" applyFill="1" applyBorder="1" applyAlignment="1">
      <alignment vertical="center"/>
    </xf>
    <xf numFmtId="165" fontId="5" fillId="0" borderId="97" xfId="7" applyNumberFormat="1" applyFont="1" applyFill="1" applyBorder="1" applyAlignment="1">
      <alignment vertical="center"/>
    </xf>
    <xf numFmtId="0" fontId="5" fillId="4" borderId="58" xfId="0" applyFont="1" applyFill="1" applyBorder="1" applyAlignment="1">
      <alignment horizontal="left" vertical="center" wrapText="1"/>
    </xf>
    <xf numFmtId="165" fontId="5" fillId="0" borderId="39" xfId="7" applyNumberFormat="1" applyFont="1" applyFill="1" applyBorder="1" applyAlignment="1">
      <alignment vertical="center"/>
    </xf>
    <xf numFmtId="165" fontId="4" fillId="0" borderId="55" xfId="7" applyNumberFormat="1" applyFont="1" applyFill="1" applyBorder="1" applyAlignment="1">
      <alignment horizontal="right" vertical="top"/>
    </xf>
    <xf numFmtId="0" fontId="0" fillId="0" borderId="23" xfId="0" applyBorder="1" applyAlignment="1">
      <alignment horizontal="center" vertical="center"/>
    </xf>
    <xf numFmtId="0" fontId="0" fillId="0" borderId="57" xfId="0" applyBorder="1" applyAlignment="1">
      <alignment horizontal="center" vertical="center"/>
    </xf>
    <xf numFmtId="165" fontId="5" fillId="0" borderId="23" xfId="7" applyNumberFormat="1" applyFont="1" applyFill="1" applyBorder="1" applyAlignment="1">
      <alignment horizontal="center" vertical="center"/>
    </xf>
    <xf numFmtId="165" fontId="5" fillId="0" borderId="2" xfId="0" applyNumberFormat="1" applyFont="1" applyBorder="1" applyAlignment="1">
      <alignment vertical="center"/>
    </xf>
    <xf numFmtId="0" fontId="6" fillId="0" borderId="56" xfId="0" applyFont="1" applyBorder="1" applyAlignment="1">
      <alignment horizontal="center" vertical="center"/>
    </xf>
    <xf numFmtId="3" fontId="5" fillId="0" borderId="54" xfId="1" applyNumberFormat="1" applyFont="1" applyFill="1" applyBorder="1" applyAlignment="1">
      <alignment horizontal="left" vertical="center"/>
    </xf>
    <xf numFmtId="3" fontId="5" fillId="0" borderId="24" xfId="1" applyNumberFormat="1" applyFont="1" applyFill="1" applyBorder="1" applyAlignment="1">
      <alignment horizontal="left" vertical="center"/>
    </xf>
    <xf numFmtId="3" fontId="5" fillId="0" borderId="24" xfId="1" applyNumberFormat="1" applyFont="1" applyFill="1" applyBorder="1" applyAlignment="1">
      <alignment horizontal="center" vertical="center"/>
    </xf>
    <xf numFmtId="165" fontId="5" fillId="0" borderId="24" xfId="0" applyNumberFormat="1" applyFont="1" applyFill="1" applyBorder="1" applyAlignment="1">
      <alignment horizontal="right" vertical="center"/>
    </xf>
    <xf numFmtId="165" fontId="5" fillId="0" borderId="12" xfId="0" applyNumberFormat="1" applyFont="1" applyBorder="1" applyAlignment="1">
      <alignment horizontal="right" vertical="center"/>
    </xf>
    <xf numFmtId="1" fontId="5" fillId="0" borderId="72" xfId="7" applyNumberFormat="1" applyFont="1" applyFill="1" applyBorder="1"/>
    <xf numFmtId="165" fontId="4" fillId="0" borderId="91" xfId="0" applyNumberFormat="1" applyFont="1" applyBorder="1" applyAlignment="1">
      <alignment vertical="top"/>
    </xf>
    <xf numFmtId="165" fontId="4" fillId="0" borderId="53" xfId="0" applyNumberFormat="1" applyFont="1" applyBorder="1" applyAlignment="1">
      <alignment vertical="top"/>
    </xf>
    <xf numFmtId="3" fontId="5" fillId="0" borderId="87" xfId="1" applyNumberFormat="1" applyFont="1" applyFill="1" applyBorder="1" applyAlignment="1">
      <alignment horizontal="left" vertical="center" wrapText="1"/>
    </xf>
    <xf numFmtId="165" fontId="5" fillId="0" borderId="2" xfId="0" applyNumberFormat="1" applyFont="1" applyFill="1" applyBorder="1" applyAlignment="1">
      <alignment horizontal="right" vertical="center"/>
    </xf>
    <xf numFmtId="3" fontId="5" fillId="0" borderId="2" xfId="1" applyNumberFormat="1" applyFont="1" applyFill="1" applyBorder="1" applyAlignment="1">
      <alignment horizontal="center" vertical="center"/>
    </xf>
    <xf numFmtId="3" fontId="5" fillId="0" borderId="23" xfId="1" applyNumberFormat="1" applyFont="1" applyFill="1" applyBorder="1" applyAlignment="1">
      <alignment horizontal="center" vertical="center"/>
    </xf>
    <xf numFmtId="165" fontId="5" fillId="0" borderId="61" xfId="0" applyNumberFormat="1" applyFont="1" applyFill="1" applyBorder="1" applyAlignment="1">
      <alignment horizontal="right" vertical="center"/>
    </xf>
    <xf numFmtId="49" fontId="5" fillId="0" borderId="53" xfId="7" applyNumberFormat="1" applyFont="1" applyFill="1" applyBorder="1" applyAlignment="1">
      <alignment horizontal="left" vertical="center" wrapText="1"/>
    </xf>
    <xf numFmtId="1" fontId="5" fillId="4" borderId="46" xfId="7" applyNumberFormat="1" applyFont="1" applyFill="1" applyBorder="1" applyAlignment="1">
      <alignment horizontal="center" vertical="center"/>
    </xf>
    <xf numFmtId="1" fontId="5" fillId="0" borderId="53" xfId="7" applyNumberFormat="1" applyFont="1" applyFill="1" applyBorder="1" applyAlignment="1">
      <alignment horizontal="center" vertical="center"/>
    </xf>
    <xf numFmtId="165" fontId="4" fillId="0" borderId="70" xfId="7" applyNumberFormat="1" applyFont="1" applyFill="1" applyBorder="1" applyAlignment="1">
      <alignment vertical="top"/>
    </xf>
    <xf numFmtId="165" fontId="4" fillId="0" borderId="61" xfId="7" applyNumberFormat="1" applyFont="1" applyFill="1" applyBorder="1" applyAlignment="1">
      <alignment vertical="top"/>
    </xf>
    <xf numFmtId="1" fontId="5" fillId="0" borderId="80" xfId="7" applyNumberFormat="1" applyFont="1" applyFill="1" applyBorder="1" applyAlignment="1">
      <alignment horizontal="center" vertical="center"/>
    </xf>
    <xf numFmtId="1" fontId="5" fillId="4" borderId="2" xfId="7" applyNumberFormat="1" applyFont="1" applyFill="1" applyBorder="1" applyAlignment="1">
      <alignment horizontal="center" vertical="center"/>
    </xf>
    <xf numFmtId="1" fontId="5" fillId="4" borderId="23" xfId="7" applyNumberFormat="1" applyFont="1" applyFill="1" applyBorder="1" applyAlignment="1">
      <alignment horizontal="center" vertical="center"/>
    </xf>
    <xf numFmtId="3" fontId="5" fillId="0" borderId="2" xfId="1" applyNumberFormat="1" applyFont="1" applyFill="1" applyBorder="1" applyAlignment="1">
      <alignment horizontal="left" vertical="center" wrapText="1"/>
    </xf>
    <xf numFmtId="165" fontId="5" fillId="4" borderId="2" xfId="7" applyNumberFormat="1" applyFont="1" applyFill="1" applyBorder="1" applyAlignment="1">
      <alignment horizontal="center" vertical="center"/>
    </xf>
    <xf numFmtId="165" fontId="5" fillId="4" borderId="23" xfId="7" applyNumberFormat="1" applyFont="1" applyFill="1" applyBorder="1" applyAlignment="1">
      <alignment horizontal="center" vertical="center"/>
    </xf>
    <xf numFmtId="3" fontId="5" fillId="4" borderId="16" xfId="1" applyNumberFormat="1" applyFont="1" applyFill="1" applyBorder="1" applyAlignment="1">
      <alignment horizontal="left" vertical="center" wrapText="1"/>
    </xf>
    <xf numFmtId="0" fontId="5" fillId="4" borderId="2" xfId="8" applyFont="1" applyFill="1" applyBorder="1" applyAlignment="1">
      <alignment horizontal="center" vertical="center"/>
    </xf>
    <xf numFmtId="1" fontId="5" fillId="4" borderId="16" xfId="7" applyNumberFormat="1" applyFont="1" applyFill="1" applyBorder="1" applyAlignment="1">
      <alignment vertical="center"/>
    </xf>
    <xf numFmtId="3" fontId="5" fillId="0" borderId="16" xfId="1" applyNumberFormat="1" applyFont="1" applyFill="1" applyBorder="1" applyAlignment="1">
      <alignment horizontal="left" vertical="center" wrapText="1"/>
    </xf>
    <xf numFmtId="3" fontId="5" fillId="4" borderId="2" xfId="1" applyNumberFormat="1" applyFont="1" applyFill="1" applyBorder="1" applyAlignment="1">
      <alignment horizontal="left" vertical="center" wrapText="1"/>
    </xf>
    <xf numFmtId="3" fontId="2" fillId="0" borderId="2" xfId="1" applyNumberFormat="1" applyFont="1" applyFill="1" applyBorder="1" applyAlignment="1">
      <alignment horizontal="center" vertical="center"/>
    </xf>
    <xf numFmtId="0" fontId="5" fillId="0" borderId="24" xfId="0" applyFont="1" applyBorder="1" applyAlignment="1">
      <alignment vertical="center" wrapText="1"/>
    </xf>
    <xf numFmtId="1" fontId="5" fillId="0" borderId="73" xfId="7" applyNumberFormat="1" applyFont="1" applyFill="1" applyBorder="1"/>
    <xf numFmtId="165" fontId="5" fillId="0" borderId="53" xfId="7" applyNumberFormat="1" applyFont="1" applyFill="1" applyBorder="1" applyAlignment="1">
      <alignment vertical="center"/>
    </xf>
    <xf numFmtId="1" fontId="5" fillId="0" borderId="12" xfId="7" applyNumberFormat="1" applyFont="1" applyFill="1" applyBorder="1" applyAlignment="1">
      <alignment horizontal="center" vertical="center"/>
    </xf>
    <xf numFmtId="1" fontId="5" fillId="0" borderId="57" xfId="7" applyNumberFormat="1" applyFont="1" applyFill="1" applyBorder="1" applyAlignment="1">
      <alignment horizontal="center" vertical="center"/>
    </xf>
    <xf numFmtId="1" fontId="5" fillId="0" borderId="12" xfId="7" applyNumberFormat="1" applyFont="1" applyFill="1" applyBorder="1" applyAlignment="1">
      <alignment vertical="center" wrapText="1"/>
    </xf>
    <xf numFmtId="49" fontId="5" fillId="0" borderId="54" xfId="7" applyNumberFormat="1" applyFont="1" applyFill="1" applyBorder="1" applyAlignment="1">
      <alignment horizontal="center" vertical="center"/>
    </xf>
    <xf numFmtId="49" fontId="5" fillId="0" borderId="53" xfId="0" applyNumberFormat="1" applyFont="1" applyFill="1" applyBorder="1" applyAlignment="1">
      <alignment horizontal="left" vertical="center" wrapText="1"/>
    </xf>
    <xf numFmtId="49" fontId="5" fillId="0" borderId="53" xfId="7" applyNumberFormat="1" applyFont="1" applyFill="1" applyBorder="1" applyAlignment="1">
      <alignment vertical="center" wrapText="1"/>
    </xf>
    <xf numFmtId="3" fontId="5" fillId="0" borderId="24" xfId="1" applyNumberFormat="1" applyFont="1" applyFill="1" applyBorder="1" applyAlignment="1">
      <alignment horizontal="left" vertical="center" wrapText="1"/>
    </xf>
    <xf numFmtId="165" fontId="4" fillId="0" borderId="45" xfId="7" applyNumberFormat="1" applyFont="1" applyFill="1" applyBorder="1" applyAlignment="1">
      <alignment vertical="top"/>
    </xf>
    <xf numFmtId="49" fontId="5" fillId="0" borderId="41" xfId="7" applyNumberFormat="1" applyFont="1" applyFill="1" applyBorder="1" applyAlignment="1">
      <alignment vertical="center" textRotation="90" wrapText="1"/>
    </xf>
    <xf numFmtId="165" fontId="5" fillId="0" borderId="13" xfId="8" applyNumberFormat="1" applyFont="1" applyFill="1" applyBorder="1" applyAlignment="1">
      <alignment horizontal="right"/>
    </xf>
    <xf numFmtId="165" fontId="5" fillId="0" borderId="24" xfId="8" applyNumberFormat="1" applyFont="1" applyFill="1" applyBorder="1" applyAlignment="1">
      <alignment horizontal="right"/>
    </xf>
    <xf numFmtId="165" fontId="5" fillId="0" borderId="13" xfId="8" applyNumberFormat="1" applyFont="1" applyFill="1" applyBorder="1"/>
    <xf numFmtId="0" fontId="2" fillId="0" borderId="0" xfId="8" applyFont="1" applyAlignment="1">
      <alignment vertical="top" wrapText="1"/>
    </xf>
    <xf numFmtId="0" fontId="2" fillId="0" borderId="0" xfId="8" applyFont="1" applyAlignment="1">
      <alignment horizontal="left" vertical="top" wrapText="1"/>
    </xf>
    <xf numFmtId="49" fontId="5" fillId="0" borderId="26" xfId="7" applyNumberFormat="1" applyFont="1" applyFill="1" applyBorder="1" applyAlignment="1">
      <alignment vertical="center" wrapText="1"/>
    </xf>
    <xf numFmtId="3" fontId="5" fillId="0" borderId="61" xfId="1" applyNumberFormat="1" applyFont="1" applyFill="1" applyBorder="1" applyAlignment="1">
      <alignment horizontal="left" vertical="center" wrapText="1"/>
    </xf>
    <xf numFmtId="0" fontId="5" fillId="0" borderId="58" xfId="1" applyFont="1" applyFill="1" applyBorder="1" applyAlignment="1">
      <alignment horizontal="left" vertical="center" wrapText="1"/>
    </xf>
    <xf numFmtId="0" fontId="5" fillId="0" borderId="29" xfId="0" applyNumberFormat="1" applyFont="1" applyFill="1" applyBorder="1" applyAlignment="1">
      <alignment vertical="center"/>
    </xf>
    <xf numFmtId="0" fontId="5" fillId="0" borderId="61" xfId="0" applyNumberFormat="1" applyFont="1" applyFill="1" applyBorder="1" applyAlignment="1">
      <alignment vertical="center"/>
    </xf>
    <xf numFmtId="1" fontId="5" fillId="0" borderId="58" xfId="7" applyNumberFormat="1" applyFont="1" applyFill="1" applyBorder="1" applyAlignment="1">
      <alignment horizontal="right" vertical="center" wrapText="1"/>
    </xf>
    <xf numFmtId="1" fontId="5" fillId="0" borderId="59" xfId="7" applyNumberFormat="1" applyFont="1" applyFill="1" applyBorder="1" applyAlignment="1">
      <alignment horizontal="right" vertical="center" wrapText="1"/>
    </xf>
    <xf numFmtId="1" fontId="5" fillId="0" borderId="24" xfId="7" applyNumberFormat="1" applyFont="1" applyFill="1" applyBorder="1" applyAlignment="1">
      <alignment horizontal="right" vertical="center" wrapText="1"/>
    </xf>
    <xf numFmtId="1" fontId="5" fillId="0" borderId="25" xfId="7" applyNumberFormat="1" applyFont="1" applyFill="1" applyBorder="1" applyAlignment="1">
      <alignment horizontal="right" vertical="center" wrapText="1"/>
    </xf>
    <xf numFmtId="49" fontId="5" fillId="0" borderId="53" xfId="7" applyNumberFormat="1" applyFont="1" applyFill="1" applyBorder="1" applyAlignment="1">
      <alignment vertical="center"/>
    </xf>
    <xf numFmtId="49" fontId="5" fillId="0" borderId="87" xfId="7" applyNumberFormat="1" applyFont="1" applyFill="1" applyBorder="1" applyAlignment="1">
      <alignment vertical="center" wrapText="1"/>
    </xf>
    <xf numFmtId="2" fontId="5" fillId="0" borderId="2" xfId="7" applyNumberFormat="1" applyFont="1" applyFill="1" applyBorder="1" applyAlignment="1">
      <alignment vertical="center"/>
    </xf>
    <xf numFmtId="49" fontId="5" fillId="0" borderId="71" xfId="7" applyNumberFormat="1" applyFont="1" applyFill="1" applyBorder="1" applyAlignment="1">
      <alignment vertical="center"/>
    </xf>
    <xf numFmtId="1" fontId="4" fillId="0" borderId="55" xfId="7" applyNumberFormat="1" applyFont="1" applyFill="1" applyBorder="1" applyAlignment="1">
      <alignment vertical="top"/>
    </xf>
    <xf numFmtId="49" fontId="5" fillId="0" borderId="22" xfId="7" applyNumberFormat="1" applyFont="1" applyFill="1" applyBorder="1" applyAlignment="1">
      <alignment horizontal="center" vertical="center"/>
    </xf>
    <xf numFmtId="0" fontId="5" fillId="0" borderId="58" xfId="0" applyNumberFormat="1" applyFont="1" applyFill="1" applyBorder="1" applyAlignment="1">
      <alignment horizontal="left" vertical="center"/>
    </xf>
    <xf numFmtId="1" fontId="5" fillId="0" borderId="71" xfId="7" applyNumberFormat="1" applyFont="1" applyFill="1" applyBorder="1" applyAlignment="1">
      <alignment horizontal="right" vertical="center"/>
    </xf>
    <xf numFmtId="165" fontId="4" fillId="0" borderId="86" xfId="7" applyNumberFormat="1" applyFont="1" applyFill="1" applyBorder="1" applyAlignment="1">
      <alignment vertical="top"/>
    </xf>
    <xf numFmtId="0" fontId="6" fillId="0" borderId="41" xfId="0" applyFont="1" applyFill="1" applyBorder="1" applyAlignment="1">
      <alignment vertical="top" textRotation="90" wrapText="1"/>
    </xf>
    <xf numFmtId="0" fontId="5" fillId="0" borderId="12" xfId="0" applyFont="1" applyFill="1" applyBorder="1" applyAlignment="1">
      <alignment vertical="center"/>
    </xf>
    <xf numFmtId="1" fontId="5" fillId="0" borderId="2" xfId="10" applyNumberFormat="1" applyFont="1" applyFill="1" applyBorder="1" applyAlignment="1">
      <alignment vertical="center"/>
    </xf>
    <xf numFmtId="1" fontId="5" fillId="0" borderId="23" xfId="10" applyNumberFormat="1" applyFont="1" applyFill="1" applyBorder="1" applyAlignment="1">
      <alignment vertical="center"/>
    </xf>
    <xf numFmtId="0" fontId="2" fillId="0" borderId="57" xfId="8" applyFont="1" applyFill="1" applyBorder="1" applyAlignment="1">
      <alignment vertical="center"/>
    </xf>
    <xf numFmtId="165" fontId="5" fillId="0" borderId="12" xfId="0" applyNumberFormat="1" applyFont="1" applyBorder="1" applyAlignment="1">
      <alignment vertical="center"/>
    </xf>
    <xf numFmtId="165" fontId="5" fillId="0" borderId="27" xfId="7" applyNumberFormat="1" applyFont="1" applyFill="1" applyBorder="1" applyAlignment="1">
      <alignment vertical="center"/>
    </xf>
    <xf numFmtId="0" fontId="5" fillId="0" borderId="58" xfId="3" applyFont="1" applyFill="1" applyBorder="1" applyAlignment="1">
      <alignment horizontal="center" vertical="center"/>
    </xf>
    <xf numFmtId="0" fontId="5" fillId="0" borderId="24" xfId="3" applyFont="1" applyFill="1" applyBorder="1" applyAlignment="1">
      <alignment horizontal="center" vertical="center"/>
    </xf>
    <xf numFmtId="1" fontId="5" fillId="4" borderId="12" xfId="7" applyNumberFormat="1" applyFont="1" applyFill="1" applyBorder="1" applyAlignment="1">
      <alignment horizontal="center" vertical="center"/>
    </xf>
    <xf numFmtId="1" fontId="5" fillId="4" borderId="57" xfId="7" applyNumberFormat="1" applyFont="1" applyFill="1" applyBorder="1" applyAlignment="1">
      <alignment horizontal="center" vertical="center"/>
    </xf>
    <xf numFmtId="3" fontId="5" fillId="0" borderId="53" xfId="1" applyNumberFormat="1" applyFont="1" applyFill="1" applyBorder="1" applyAlignment="1">
      <alignment horizontal="left" vertical="center"/>
    </xf>
    <xf numFmtId="1" fontId="5" fillId="4" borderId="2" xfId="7" applyNumberFormat="1" applyFont="1" applyFill="1" applyBorder="1" applyAlignment="1">
      <alignment horizontal="right" vertical="center"/>
    </xf>
    <xf numFmtId="1" fontId="5" fillId="4" borderId="23" xfId="7" applyNumberFormat="1" applyFont="1" applyFill="1" applyBorder="1" applyAlignment="1">
      <alignment horizontal="right" vertical="center"/>
    </xf>
    <xf numFmtId="165" fontId="4" fillId="0" borderId="29" xfId="7" applyNumberFormat="1" applyFont="1" applyFill="1" applyBorder="1" applyAlignment="1">
      <alignment vertical="top"/>
    </xf>
    <xf numFmtId="9" fontId="5" fillId="4" borderId="2" xfId="10" applyFont="1" applyFill="1" applyBorder="1" applyAlignment="1">
      <alignment horizontal="center" vertical="center"/>
    </xf>
    <xf numFmtId="167" fontId="5" fillId="4" borderId="2" xfId="10" applyNumberFormat="1" applyFont="1" applyFill="1" applyBorder="1" applyAlignment="1">
      <alignment horizontal="center" vertical="center"/>
    </xf>
    <xf numFmtId="167" fontId="5" fillId="4" borderId="23" xfId="10" applyNumberFormat="1" applyFont="1" applyFill="1" applyBorder="1" applyAlignment="1">
      <alignment horizontal="center" vertical="center"/>
    </xf>
    <xf numFmtId="168" fontId="5" fillId="0" borderId="61" xfId="7" applyNumberFormat="1" applyFont="1" applyFill="1" applyBorder="1" applyAlignment="1">
      <alignment horizontal="center" vertical="center"/>
    </xf>
    <xf numFmtId="168" fontId="5" fillId="0" borderId="80" xfId="7" applyNumberFormat="1" applyFont="1" applyFill="1" applyBorder="1" applyAlignment="1">
      <alignment horizontal="center" vertical="center"/>
    </xf>
    <xf numFmtId="49" fontId="5" fillId="4" borderId="71" xfId="7" applyNumberFormat="1" applyFont="1" applyFill="1" applyBorder="1" applyAlignment="1">
      <alignment horizontal="left" vertical="center" wrapText="1"/>
    </xf>
    <xf numFmtId="168" fontId="5" fillId="0" borderId="71" xfId="6" applyNumberFormat="1" applyFont="1" applyFill="1" applyBorder="1" applyAlignment="1">
      <alignment horizontal="center" vertical="center"/>
    </xf>
    <xf numFmtId="168" fontId="5" fillId="0" borderId="79" xfId="6" applyNumberFormat="1" applyFont="1" applyFill="1" applyBorder="1" applyAlignment="1">
      <alignment horizontal="center" vertical="center"/>
    </xf>
    <xf numFmtId="0" fontId="5" fillId="0" borderId="61" xfId="3" applyFont="1" applyFill="1" applyBorder="1" applyAlignment="1">
      <alignment horizontal="center" vertical="center"/>
    </xf>
    <xf numFmtId="0" fontId="2" fillId="0" borderId="0" xfId="8" applyFont="1" applyFill="1" applyAlignment="1">
      <alignment horizontal="left" vertical="top" wrapText="1"/>
    </xf>
    <xf numFmtId="0" fontId="0" fillId="0" borderId="25" xfId="0" applyBorder="1" applyAlignment="1">
      <alignment horizontal="right" vertical="center"/>
    </xf>
    <xf numFmtId="165" fontId="4" fillId="0" borderId="29" xfId="7" applyNumberFormat="1" applyFont="1" applyFill="1" applyBorder="1" applyAlignment="1"/>
    <xf numFmtId="1" fontId="5" fillId="0" borderId="79" xfId="7" applyNumberFormat="1" applyFont="1" applyFill="1" applyBorder="1" applyAlignment="1">
      <alignment horizontal="right" vertical="center"/>
    </xf>
    <xf numFmtId="0" fontId="18" fillId="0" borderId="12" xfId="3" applyFont="1" applyFill="1" applyBorder="1" applyAlignment="1">
      <alignment horizontal="right" vertical="center" textRotation="90"/>
    </xf>
    <xf numFmtId="0" fontId="18" fillId="0" borderId="57" xfId="3" applyFont="1" applyFill="1" applyBorder="1" applyAlignment="1">
      <alignment horizontal="right" vertical="center" textRotation="90"/>
    </xf>
    <xf numFmtId="49" fontId="5" fillId="0" borderId="24" xfId="7" applyNumberFormat="1" applyFont="1" applyFill="1" applyBorder="1" applyAlignment="1">
      <alignment horizontal="left" vertical="center"/>
    </xf>
    <xf numFmtId="165" fontId="15" fillId="0" borderId="61" xfId="7" applyNumberFormat="1" applyFont="1" applyFill="1" applyBorder="1" applyAlignment="1">
      <alignment vertical="center"/>
    </xf>
    <xf numFmtId="1" fontId="5" fillId="4" borderId="12" xfId="7" applyNumberFormat="1" applyFont="1" applyFill="1" applyBorder="1" applyAlignment="1">
      <alignment horizontal="left" vertical="center" wrapText="1"/>
    </xf>
    <xf numFmtId="0" fontId="5" fillId="0" borderId="24" xfId="0" applyFont="1" applyFill="1" applyBorder="1" applyAlignment="1">
      <alignment horizontal="right" vertical="center"/>
    </xf>
    <xf numFmtId="0" fontId="5" fillId="0" borderId="25" xfId="0" applyFont="1" applyFill="1" applyBorder="1" applyAlignment="1">
      <alignment horizontal="right" vertical="center"/>
    </xf>
    <xf numFmtId="1" fontId="5" fillId="0" borderId="22" xfId="7" applyNumberFormat="1" applyFont="1" applyFill="1" applyBorder="1" applyAlignment="1">
      <alignment vertical="center"/>
    </xf>
    <xf numFmtId="1" fontId="5" fillId="0" borderId="92" xfId="7" applyNumberFormat="1" applyFont="1" applyFill="1" applyBorder="1" applyAlignment="1">
      <alignment vertical="center"/>
    </xf>
    <xf numFmtId="49" fontId="5" fillId="0" borderId="0" xfId="0" applyNumberFormat="1" applyFont="1" applyFill="1" applyBorder="1" applyAlignment="1">
      <alignment vertical="center" wrapText="1"/>
    </xf>
    <xf numFmtId="49" fontId="5" fillId="0" borderId="64" xfId="0" applyNumberFormat="1" applyFont="1" applyFill="1" applyBorder="1" applyAlignment="1">
      <alignment vertical="center" wrapText="1"/>
    </xf>
    <xf numFmtId="1" fontId="5" fillId="0" borderId="2" xfId="7" applyNumberFormat="1" applyFont="1" applyFill="1" applyBorder="1" applyAlignment="1">
      <alignment horizontal="right" vertical="center" shrinkToFit="1"/>
    </xf>
    <xf numFmtId="1" fontId="5" fillId="0" borderId="61" xfId="7" applyNumberFormat="1" applyFont="1" applyFill="1" applyBorder="1" applyAlignment="1">
      <alignment horizontal="right" vertical="center" shrinkToFit="1"/>
    </xf>
    <xf numFmtId="0" fontId="9" fillId="0" borderId="36" xfId="8" applyFont="1" applyFill="1" applyBorder="1" applyAlignment="1">
      <alignment vertical="top"/>
    </xf>
    <xf numFmtId="1" fontId="4" fillId="0" borderId="46" xfId="7" applyNumberFormat="1" applyFont="1" applyFill="1" applyBorder="1" applyAlignment="1">
      <alignment horizontal="right"/>
    </xf>
    <xf numFmtId="49" fontId="5" fillId="0" borderId="0" xfId="7" applyNumberFormat="1" applyFont="1" applyFill="1" applyBorder="1" applyAlignment="1">
      <alignment horizontal="left" vertical="center"/>
    </xf>
    <xf numFmtId="0" fontId="5" fillId="0" borderId="2" xfId="7" applyNumberFormat="1" applyFont="1" applyFill="1" applyBorder="1" applyAlignment="1">
      <alignment horizontal="right"/>
    </xf>
    <xf numFmtId="0" fontId="5" fillId="0" borderId="2" xfId="0" applyFont="1" applyFill="1" applyBorder="1" applyAlignment="1">
      <alignment horizontal="right"/>
    </xf>
    <xf numFmtId="165" fontId="5" fillId="0" borderId="2" xfId="0" applyNumberFormat="1" applyFont="1" applyFill="1" applyBorder="1" applyAlignment="1">
      <alignment horizontal="right"/>
    </xf>
    <xf numFmtId="0" fontId="5" fillId="0" borderId="61" xfId="0" applyFont="1" applyFill="1" applyBorder="1" applyAlignment="1">
      <alignment horizontal="right" vertical="center"/>
    </xf>
    <xf numFmtId="0" fontId="5" fillId="0" borderId="2" xfId="0" applyFont="1" applyFill="1" applyBorder="1" applyAlignment="1">
      <alignment vertical="center"/>
    </xf>
    <xf numFmtId="0" fontId="5" fillId="0" borderId="22" xfId="0" applyFont="1" applyFill="1" applyBorder="1" applyAlignment="1">
      <alignment vertical="center"/>
    </xf>
    <xf numFmtId="165" fontId="15" fillId="0" borderId="61" xfId="7" applyNumberFormat="1" applyFont="1" applyFill="1" applyBorder="1" applyAlignment="1">
      <alignment horizontal="right" vertical="center"/>
    </xf>
    <xf numFmtId="165" fontId="5" fillId="0" borderId="13" xfId="0" applyNumberFormat="1" applyFont="1" applyFill="1" applyBorder="1" applyAlignment="1">
      <alignment horizontal="right" vertical="center"/>
    </xf>
    <xf numFmtId="0" fontId="5" fillId="0" borderId="13" xfId="0" applyFont="1" applyFill="1" applyBorder="1" applyAlignment="1">
      <alignment horizontal="right" vertical="center"/>
    </xf>
    <xf numFmtId="49" fontId="5" fillId="0" borderId="15" xfId="7" applyNumberFormat="1" applyFont="1" applyFill="1" applyBorder="1" applyAlignment="1">
      <alignment horizontal="left" vertical="center"/>
    </xf>
    <xf numFmtId="49" fontId="5" fillId="0" borderId="15" xfId="7" applyNumberFormat="1" applyFont="1" applyFill="1" applyBorder="1" applyAlignment="1">
      <alignment horizontal="center" vertical="center"/>
    </xf>
    <xf numFmtId="49" fontId="5" fillId="0" borderId="72" xfId="7" applyNumberFormat="1" applyFont="1" applyFill="1" applyBorder="1" applyAlignment="1">
      <alignment horizontal="center" vertical="center"/>
    </xf>
    <xf numFmtId="49" fontId="5" fillId="0" borderId="72" xfId="0" applyNumberFormat="1" applyFont="1" applyFill="1" applyBorder="1" applyAlignment="1">
      <alignment vertical="center"/>
    </xf>
    <xf numFmtId="0" fontId="5" fillId="0" borderId="24" xfId="0" applyFont="1" applyFill="1" applyBorder="1" applyAlignment="1">
      <alignment horizontal="center" vertical="center"/>
    </xf>
    <xf numFmtId="0" fontId="5" fillId="0" borderId="39" xfId="0" applyFont="1" applyFill="1" applyBorder="1" applyAlignment="1">
      <alignment horizontal="center" vertical="center"/>
    </xf>
    <xf numFmtId="165" fontId="2" fillId="0" borderId="13" xfId="0" applyNumberFormat="1" applyFont="1" applyBorder="1" applyAlignment="1">
      <alignment vertical="center"/>
    </xf>
    <xf numFmtId="165" fontId="5" fillId="0" borderId="13" xfId="0" applyNumberFormat="1" applyFont="1" applyBorder="1" applyAlignment="1">
      <alignment vertical="center"/>
    </xf>
    <xf numFmtId="165" fontId="5" fillId="0" borderId="13" xfId="0" applyNumberFormat="1" applyFont="1" applyFill="1" applyBorder="1" applyAlignment="1">
      <alignment horizontal="center" vertical="center"/>
    </xf>
    <xf numFmtId="165" fontId="5" fillId="0" borderId="24" xfId="0" applyNumberFormat="1" applyFont="1" applyFill="1" applyBorder="1" applyAlignment="1">
      <alignment vertical="center"/>
    </xf>
    <xf numFmtId="0" fontId="5" fillId="0" borderId="58" xfId="0" applyFont="1" applyFill="1" applyBorder="1" applyAlignment="1">
      <alignment horizontal="right" vertical="center"/>
    </xf>
    <xf numFmtId="165" fontId="5" fillId="0" borderId="12" xfId="0" applyNumberFormat="1" applyFont="1" applyFill="1" applyBorder="1" applyAlignment="1">
      <alignment vertical="center"/>
    </xf>
    <xf numFmtId="165" fontId="6" fillId="0" borderId="12" xfId="0" applyNumberFormat="1" applyFont="1" applyBorder="1" applyAlignment="1">
      <alignment vertical="center"/>
    </xf>
    <xf numFmtId="2" fontId="5" fillId="0" borderId="61" xfId="7" applyNumberFormat="1" applyFont="1" applyFill="1" applyBorder="1" applyAlignment="1">
      <alignment horizontal="right" vertical="center"/>
    </xf>
    <xf numFmtId="0" fontId="5" fillId="0" borderId="58" xfId="7" applyNumberFormat="1" applyFont="1" applyFill="1" applyBorder="1" applyAlignment="1">
      <alignment horizontal="right" vertical="center"/>
    </xf>
    <xf numFmtId="0" fontId="5" fillId="0" borderId="15" xfId="8" applyFont="1" applyFill="1" applyBorder="1" applyAlignment="1">
      <alignment horizontal="right" vertical="center"/>
    </xf>
    <xf numFmtId="165" fontId="5" fillId="0" borderId="24" xfId="8" applyNumberFormat="1" applyFont="1" applyFill="1" applyBorder="1" applyAlignment="1">
      <alignment horizontal="right" vertical="center"/>
    </xf>
    <xf numFmtId="0" fontId="5" fillId="0" borderId="24" xfId="0" applyFont="1" applyFill="1" applyBorder="1" applyAlignment="1">
      <alignment horizontal="left" vertical="center"/>
    </xf>
    <xf numFmtId="0" fontId="5" fillId="0" borderId="2" xfId="0" applyFont="1" applyFill="1" applyBorder="1" applyAlignment="1">
      <alignment horizontal="center" vertical="center"/>
    </xf>
    <xf numFmtId="1" fontId="5" fillId="0" borderId="13" xfId="0" applyNumberFormat="1" applyFont="1" applyFill="1" applyBorder="1" applyAlignment="1">
      <alignment vertical="top"/>
    </xf>
    <xf numFmtId="0" fontId="5" fillId="0" borderId="2" xfId="0" applyFont="1" applyFill="1" applyBorder="1" applyAlignment="1">
      <alignment horizontal="center" vertical="top"/>
    </xf>
    <xf numFmtId="1" fontId="5" fillId="0" borderId="2" xfId="0" applyNumberFormat="1" applyFont="1" applyFill="1" applyBorder="1" applyAlignment="1">
      <alignment vertical="top"/>
    </xf>
    <xf numFmtId="0" fontId="5" fillId="0" borderId="24" xfId="0" applyFont="1" applyFill="1" applyBorder="1" applyAlignment="1">
      <alignment horizontal="center" vertical="top"/>
    </xf>
    <xf numFmtId="1" fontId="5" fillId="0" borderId="12" xfId="0" applyNumberFormat="1" applyFont="1" applyFill="1" applyBorder="1" applyAlignment="1">
      <alignment vertical="top"/>
    </xf>
    <xf numFmtId="165" fontId="5" fillId="0" borderId="13" xfId="0" applyNumberFormat="1" applyFont="1" applyFill="1" applyBorder="1" applyAlignment="1">
      <alignment vertical="center"/>
    </xf>
    <xf numFmtId="165" fontId="5" fillId="0" borderId="2" xfId="0" applyNumberFormat="1" applyFont="1" applyFill="1" applyBorder="1" applyAlignment="1">
      <alignment vertical="center"/>
    </xf>
    <xf numFmtId="165" fontId="5" fillId="0" borderId="61" xfId="0" applyNumberFormat="1" applyFont="1" applyFill="1" applyBorder="1" applyAlignment="1">
      <alignment vertical="center"/>
    </xf>
    <xf numFmtId="49" fontId="5" fillId="0" borderId="78" xfId="7" applyNumberFormat="1" applyFont="1" applyFill="1" applyBorder="1" applyAlignment="1">
      <alignment vertical="center"/>
    </xf>
    <xf numFmtId="49" fontId="5" fillId="0" borderId="0" xfId="7" applyNumberFormat="1" applyFont="1" applyFill="1" applyBorder="1" applyAlignment="1">
      <alignment vertical="center"/>
    </xf>
    <xf numFmtId="49" fontId="5" fillId="0" borderId="44" xfId="7" applyNumberFormat="1" applyFont="1" applyFill="1" applyBorder="1" applyAlignment="1">
      <alignment vertical="center"/>
    </xf>
    <xf numFmtId="49" fontId="5" fillId="0" borderId="45" xfId="7" applyNumberFormat="1" applyFont="1" applyFill="1" applyBorder="1" applyAlignment="1">
      <alignment vertical="center"/>
    </xf>
    <xf numFmtId="0" fontId="5" fillId="0" borderId="2" xfId="0" applyFont="1" applyFill="1" applyBorder="1" applyAlignment="1">
      <alignment horizontal="right" vertical="center"/>
    </xf>
    <xf numFmtId="1" fontId="5" fillId="0" borderId="0" xfId="8" applyNumberFormat="1" applyFont="1" applyFill="1" applyBorder="1"/>
    <xf numFmtId="0" fontId="12" fillId="0" borderId="0" xfId="8" applyFont="1" applyFill="1" applyBorder="1"/>
    <xf numFmtId="165" fontId="12" fillId="0" borderId="0" xfId="8" applyNumberFormat="1" applyFont="1" applyFill="1" applyBorder="1"/>
    <xf numFmtId="49" fontId="5" fillId="0" borderId="106" xfId="7" applyNumberFormat="1" applyFont="1" applyFill="1" applyBorder="1" applyAlignment="1">
      <alignment horizontal="center"/>
    </xf>
    <xf numFmtId="49" fontId="5" fillId="0" borderId="107" xfId="7" applyNumberFormat="1" applyFont="1" applyFill="1" applyBorder="1" applyAlignment="1">
      <alignment horizontal="center"/>
    </xf>
    <xf numFmtId="165" fontId="4" fillId="0" borderId="0" xfId="8" applyNumberFormat="1" applyFont="1" applyFill="1"/>
    <xf numFmtId="1" fontId="5" fillId="0" borderId="0" xfId="8" applyNumberFormat="1" applyFont="1" applyBorder="1" applyAlignment="1">
      <alignment horizontal="center"/>
    </xf>
    <xf numFmtId="1" fontId="12" fillId="0" borderId="0" xfId="8" applyNumberFormat="1" applyFont="1" applyBorder="1" applyAlignment="1">
      <alignment horizontal="center"/>
    </xf>
    <xf numFmtId="165" fontId="4" fillId="0" borderId="0" xfId="8" applyNumberFormat="1" applyFont="1"/>
    <xf numFmtId="1" fontId="5" fillId="0" borderId="0" xfId="8" applyNumberFormat="1" applyFont="1" applyFill="1" applyBorder="1" applyAlignment="1">
      <alignment horizontal="center"/>
    </xf>
    <xf numFmtId="1" fontId="5" fillId="0" borderId="0" xfId="8" applyNumberFormat="1" applyFont="1" applyBorder="1"/>
    <xf numFmtId="1" fontId="12" fillId="0" borderId="0" xfId="8" applyNumberFormat="1" applyFont="1" applyBorder="1"/>
    <xf numFmtId="165" fontId="29" fillId="0" borderId="42" xfId="7" applyNumberFormat="1" applyFont="1" applyFill="1" applyBorder="1" applyAlignment="1">
      <alignment vertical="top"/>
    </xf>
    <xf numFmtId="1" fontId="5" fillId="0" borderId="0" xfId="8" applyNumberFormat="1" applyFont="1" applyFill="1" applyBorder="1" applyAlignment="1">
      <alignment horizontal="right"/>
    </xf>
    <xf numFmtId="0" fontId="12" fillId="0" borderId="0" xfId="8" applyFont="1" applyBorder="1" applyAlignment="1">
      <alignment horizontal="right"/>
    </xf>
    <xf numFmtId="0" fontId="5" fillId="0" borderId="0" xfId="0" applyFont="1" applyFill="1" applyAlignment="1">
      <alignment vertical="center" wrapText="1"/>
    </xf>
    <xf numFmtId="165" fontId="5" fillId="0" borderId="81" xfId="7" applyNumberFormat="1" applyFont="1" applyFill="1" applyBorder="1" applyAlignment="1">
      <alignment horizontal="right" vertical="center"/>
    </xf>
    <xf numFmtId="0" fontId="0" fillId="0" borderId="22" xfId="0" applyBorder="1" applyAlignment="1">
      <alignment horizontal="right" vertical="center"/>
    </xf>
    <xf numFmtId="49" fontId="5" fillId="0" borderId="58" xfId="7" applyNumberFormat="1" applyFont="1" applyFill="1" applyBorder="1" applyAlignment="1">
      <alignment horizontal="left" vertical="center"/>
    </xf>
    <xf numFmtId="0" fontId="0" fillId="0" borderId="24" xfId="0" applyBorder="1" applyAlignment="1">
      <alignment horizontal="left" vertical="center"/>
    </xf>
    <xf numFmtId="49" fontId="5" fillId="0" borderId="58" xfId="7" applyNumberFormat="1" applyFont="1" applyFill="1" applyBorder="1" applyAlignment="1">
      <alignment horizontal="center" vertical="center"/>
    </xf>
    <xf numFmtId="0" fontId="0" fillId="0" borderId="24" xfId="0" applyBorder="1" applyAlignment="1">
      <alignment horizontal="center" vertical="center"/>
    </xf>
    <xf numFmtId="165" fontId="5" fillId="0" borderId="58" xfId="7" applyNumberFormat="1" applyFont="1" applyFill="1" applyBorder="1" applyAlignment="1">
      <alignment horizontal="right" vertical="center"/>
    </xf>
    <xf numFmtId="0" fontId="0" fillId="0" borderId="24" xfId="0" applyFill="1" applyBorder="1" applyAlignment="1">
      <alignment horizontal="right" vertical="center"/>
    </xf>
    <xf numFmtId="0" fontId="13" fillId="0" borderId="41" xfId="3" applyFont="1" applyFill="1" applyBorder="1" applyAlignment="1">
      <alignment horizontal="right" vertical="top"/>
    </xf>
    <xf numFmtId="0" fontId="30" fillId="0" borderId="36" xfId="0" applyFont="1" applyBorder="1" applyAlignment="1">
      <alignment vertical="top"/>
    </xf>
    <xf numFmtId="0" fontId="30" fillId="0" borderId="90" xfId="0" applyFont="1" applyBorder="1" applyAlignment="1">
      <alignment vertical="top"/>
    </xf>
    <xf numFmtId="49" fontId="5" fillId="0" borderId="77" xfId="7" applyNumberFormat="1" applyFont="1" applyFill="1" applyBorder="1" applyAlignment="1">
      <alignment horizontal="left" vertical="center"/>
    </xf>
    <xf numFmtId="0" fontId="0" fillId="0" borderId="15" xfId="0" applyFill="1" applyBorder="1" applyAlignment="1">
      <alignment vertical="center"/>
    </xf>
    <xf numFmtId="0" fontId="0" fillId="0" borderId="72" xfId="0" applyFill="1" applyBorder="1" applyAlignment="1">
      <alignment vertical="center"/>
    </xf>
    <xf numFmtId="0" fontId="13" fillId="0" borderId="77" xfId="3" applyFont="1" applyFill="1" applyBorder="1" applyAlignment="1">
      <alignment horizontal="right" vertical="top"/>
    </xf>
    <xf numFmtId="0" fontId="30" fillId="0" borderId="15" xfId="0" applyFont="1" applyBorder="1" applyAlignment="1">
      <alignment vertical="top"/>
    </xf>
    <xf numFmtId="49" fontId="5" fillId="0" borderId="71" xfId="0" applyNumberFormat="1" applyFont="1" applyFill="1" applyBorder="1" applyAlignment="1">
      <alignment horizontal="left" vertical="center"/>
    </xf>
    <xf numFmtId="0" fontId="0" fillId="0" borderId="61" xfId="0" applyBorder="1" applyAlignment="1">
      <alignment horizontal="left" vertical="center"/>
    </xf>
    <xf numFmtId="0" fontId="0" fillId="0" borderId="22" xfId="0" applyBorder="1" applyAlignment="1">
      <alignment horizontal="left" vertical="center"/>
    </xf>
    <xf numFmtId="0" fontId="30" fillId="0" borderId="74" xfId="0" applyFont="1" applyBorder="1" applyAlignment="1">
      <alignment vertical="top"/>
    </xf>
    <xf numFmtId="49" fontId="5" fillId="0" borderId="77" xfId="7" applyNumberFormat="1" applyFont="1" applyFill="1" applyBorder="1" applyAlignment="1">
      <alignment horizontal="left" vertical="center" wrapText="1"/>
    </xf>
    <xf numFmtId="0" fontId="0" fillId="0" borderId="15" xfId="0" applyFill="1" applyBorder="1" applyAlignment="1">
      <alignment horizontal="left" vertical="center" wrapText="1"/>
    </xf>
    <xf numFmtId="0" fontId="0" fillId="0" borderId="72" xfId="0" applyFill="1" applyBorder="1" applyAlignment="1">
      <alignment horizontal="left" vertical="center" wrapText="1"/>
    </xf>
    <xf numFmtId="49" fontId="5" fillId="0" borderId="2" xfId="7" applyNumberFormat="1" applyFont="1" applyFill="1" applyBorder="1" applyAlignment="1">
      <alignment horizontal="left" vertical="center" wrapText="1"/>
    </xf>
    <xf numFmtId="0" fontId="0" fillId="0" borderId="2" xfId="0" applyFill="1" applyBorder="1" applyAlignment="1">
      <alignment horizontal="left" vertical="center" wrapText="1"/>
    </xf>
    <xf numFmtId="0" fontId="0" fillId="0" borderId="24" xfId="0" applyBorder="1" applyAlignment="1">
      <alignment horizontal="right" vertical="center"/>
    </xf>
    <xf numFmtId="49" fontId="5" fillId="0" borderId="83" xfId="7" applyNumberFormat="1" applyFont="1" applyFill="1" applyBorder="1" applyAlignment="1">
      <alignment horizontal="center" vertical="center" textRotation="90" wrapText="1"/>
    </xf>
    <xf numFmtId="0" fontId="0" fillId="0" borderId="18" xfId="0" applyBorder="1" applyAlignment="1">
      <alignment horizontal="center" vertical="center" textRotation="90" wrapText="1"/>
    </xf>
    <xf numFmtId="0" fontId="0" fillId="0" borderId="19" xfId="0" applyBorder="1" applyAlignment="1">
      <alignment horizontal="center" vertical="center" textRotation="90" wrapText="1"/>
    </xf>
    <xf numFmtId="49" fontId="5" fillId="0" borderId="0" xfId="7" applyNumberFormat="1" applyFont="1" applyFill="1" applyBorder="1" applyAlignment="1">
      <alignment horizontal="left" vertical="center" wrapText="1"/>
    </xf>
    <xf numFmtId="49" fontId="5" fillId="0" borderId="29" xfId="7" applyNumberFormat="1" applyFont="1" applyFill="1" applyBorder="1" applyAlignment="1">
      <alignment horizontal="left" vertical="center" wrapText="1"/>
    </xf>
    <xf numFmtId="49" fontId="5" fillId="0" borderId="82" xfId="7" applyNumberFormat="1" applyFont="1" applyFill="1" applyBorder="1" applyAlignment="1">
      <alignment horizontal="left" vertical="center"/>
    </xf>
    <xf numFmtId="0" fontId="0" fillId="0" borderId="58" xfId="0" applyFill="1" applyBorder="1" applyAlignment="1">
      <alignment vertical="center"/>
    </xf>
    <xf numFmtId="49" fontId="5" fillId="0" borderId="99" xfId="7" applyNumberFormat="1" applyFont="1" applyFill="1" applyBorder="1" applyAlignment="1">
      <alignment horizontal="left" vertical="center"/>
    </xf>
    <xf numFmtId="0" fontId="0" fillId="0" borderId="13" xfId="0" applyFill="1" applyBorder="1" applyAlignment="1">
      <alignment vertical="center"/>
    </xf>
    <xf numFmtId="0" fontId="0" fillId="0" borderId="17" xfId="0" applyFill="1" applyBorder="1" applyAlignment="1">
      <alignment vertical="center"/>
    </xf>
    <xf numFmtId="0" fontId="0" fillId="0" borderId="2" xfId="0" applyFill="1" applyBorder="1" applyAlignment="1">
      <alignment vertical="center"/>
    </xf>
    <xf numFmtId="0" fontId="0" fillId="0" borderId="85" xfId="0" applyFill="1" applyBorder="1" applyAlignment="1">
      <alignment vertical="center"/>
    </xf>
    <xf numFmtId="0" fontId="0" fillId="0" borderId="24" xfId="0" applyFill="1" applyBorder="1" applyAlignment="1">
      <alignment vertical="center"/>
    </xf>
    <xf numFmtId="49" fontId="5" fillId="0" borderId="18" xfId="7" applyNumberFormat="1" applyFont="1" applyFill="1" applyBorder="1" applyAlignment="1">
      <alignment horizontal="center" vertical="center" textRotation="90" wrapText="1"/>
    </xf>
    <xf numFmtId="0" fontId="13" fillId="0" borderId="36" xfId="3" applyFont="1" applyFill="1" applyBorder="1" applyAlignment="1">
      <alignment horizontal="right" vertical="top"/>
    </xf>
    <xf numFmtId="49" fontId="5" fillId="0" borderId="26" xfId="7" applyNumberFormat="1" applyFont="1" applyFill="1" applyBorder="1" applyAlignment="1">
      <alignment horizontal="left" vertical="center" wrapText="1"/>
    </xf>
    <xf numFmtId="49" fontId="5" fillId="0" borderId="13" xfId="7" applyNumberFormat="1" applyFont="1" applyFill="1" applyBorder="1" applyAlignment="1">
      <alignment horizontal="left" vertical="center" wrapText="1"/>
    </xf>
    <xf numFmtId="0" fontId="0" fillId="0" borderId="16" xfId="0" applyFill="1" applyBorder="1" applyAlignment="1">
      <alignment horizontal="left" vertical="center" wrapText="1"/>
    </xf>
    <xf numFmtId="49" fontId="5" fillId="0" borderId="13" xfId="0" applyNumberFormat="1" applyFont="1" applyFill="1" applyBorder="1" applyAlignment="1">
      <alignment horizontal="left" vertical="center"/>
    </xf>
    <xf numFmtId="0" fontId="0" fillId="0" borderId="2" xfId="0" applyBorder="1" applyAlignment="1">
      <alignment horizontal="left" vertical="center"/>
    </xf>
    <xf numFmtId="49" fontId="5" fillId="0" borderId="13" xfId="7" applyNumberFormat="1" applyFont="1" applyFill="1" applyBorder="1" applyAlignment="1">
      <alignment horizontal="center" vertical="center"/>
    </xf>
    <xf numFmtId="0" fontId="0" fillId="0" borderId="2" xfId="0" applyBorder="1" applyAlignment="1">
      <alignment horizontal="center" vertical="center"/>
    </xf>
    <xf numFmtId="165" fontId="5" fillId="0" borderId="12" xfId="7" applyNumberFormat="1" applyFont="1" applyFill="1" applyBorder="1" applyAlignment="1">
      <alignment horizontal="right" vertical="center"/>
    </xf>
    <xf numFmtId="0" fontId="0" fillId="0" borderId="44" xfId="0" applyFill="1" applyBorder="1" applyAlignment="1">
      <alignment vertical="center"/>
    </xf>
    <xf numFmtId="0" fontId="0" fillId="0" borderId="45" xfId="0" applyFill="1" applyBorder="1" applyAlignment="1">
      <alignment vertical="center"/>
    </xf>
    <xf numFmtId="0" fontId="0" fillId="0" borderId="73" xfId="0" applyFill="1" applyBorder="1" applyAlignment="1">
      <alignment vertical="center"/>
    </xf>
    <xf numFmtId="49" fontId="5" fillId="0" borderId="71" xfId="7" applyNumberFormat="1" applyFont="1" applyFill="1" applyBorder="1" applyAlignment="1">
      <alignment horizontal="center" vertical="center"/>
    </xf>
    <xf numFmtId="0" fontId="0" fillId="0" borderId="22" xfId="0" applyBorder="1" applyAlignment="1">
      <alignment horizontal="center" vertical="center"/>
    </xf>
    <xf numFmtId="165" fontId="5" fillId="0" borderId="71" xfId="7" applyNumberFormat="1" applyFont="1" applyFill="1" applyBorder="1" applyAlignment="1">
      <alignment horizontal="right" vertical="center"/>
    </xf>
    <xf numFmtId="0" fontId="0" fillId="0" borderId="61" xfId="0" applyBorder="1" applyAlignment="1">
      <alignment horizontal="right" vertical="center"/>
    </xf>
    <xf numFmtId="49" fontId="5" fillId="0" borderId="81" xfId="7" applyNumberFormat="1" applyFont="1" applyFill="1" applyBorder="1" applyAlignment="1">
      <alignment horizontal="center" vertical="center"/>
    </xf>
    <xf numFmtId="0" fontId="0" fillId="0" borderId="22" xfId="0" applyBorder="1" applyAlignment="1">
      <alignment vertical="center"/>
    </xf>
    <xf numFmtId="49" fontId="4" fillId="0" borderId="41" xfId="7" applyNumberFormat="1" applyFont="1" applyFill="1" applyBorder="1" applyAlignment="1">
      <alignment horizontal="right"/>
    </xf>
    <xf numFmtId="0" fontId="30" fillId="0" borderId="36" xfId="0" applyFont="1" applyBorder="1" applyAlignment="1">
      <alignment horizontal="right"/>
    </xf>
    <xf numFmtId="0" fontId="30" fillId="0" borderId="90" xfId="0" applyFont="1" applyBorder="1" applyAlignment="1">
      <alignment horizontal="right"/>
    </xf>
    <xf numFmtId="0" fontId="13" fillId="0" borderId="78" xfId="3" applyFont="1" applyFill="1" applyBorder="1" applyAlignment="1">
      <alignment horizontal="right" vertical="top"/>
    </xf>
    <xf numFmtId="0" fontId="30" fillId="0" borderId="0" xfId="0" applyFont="1" applyBorder="1" applyAlignment="1">
      <alignment vertical="top"/>
    </xf>
    <xf numFmtId="0" fontId="30" fillId="0" borderId="75" xfId="0" applyFont="1" applyBorder="1" applyAlignment="1">
      <alignment vertical="top"/>
    </xf>
    <xf numFmtId="49" fontId="5" fillId="0" borderId="78" xfId="7" applyNumberFormat="1" applyFont="1" applyFill="1" applyBorder="1" applyAlignment="1">
      <alignment horizontal="center" vertical="center" textRotation="90" wrapText="1"/>
    </xf>
    <xf numFmtId="0" fontId="0" fillId="0" borderId="78" xfId="0" applyBorder="1" applyAlignment="1">
      <alignment horizontal="center" vertical="center" textRotation="90" wrapText="1"/>
    </xf>
    <xf numFmtId="0" fontId="0" fillId="0" borderId="36" xfId="0" applyBorder="1" applyAlignment="1">
      <alignment vertical="top"/>
    </xf>
    <xf numFmtId="0" fontId="0" fillId="0" borderId="90" xfId="0" applyBorder="1" applyAlignment="1">
      <alignment vertical="top"/>
    </xf>
    <xf numFmtId="49" fontId="5" fillId="0" borderId="77" xfId="7" applyNumberFormat="1" applyFont="1" applyFill="1" applyBorder="1" applyAlignment="1">
      <alignment horizontal="center" vertical="center" textRotation="90" wrapText="1"/>
    </xf>
    <xf numFmtId="49" fontId="5" fillId="0" borderId="83" xfId="7" applyNumberFormat="1" applyFont="1" applyFill="1" applyBorder="1" applyAlignment="1">
      <alignment horizontal="center" vertical="top" textRotation="90" wrapText="1"/>
    </xf>
    <xf numFmtId="0" fontId="0" fillId="0" borderId="18" xfId="0" applyBorder="1" applyAlignment="1">
      <alignment horizontal="center" vertical="top" textRotation="90" wrapText="1"/>
    </xf>
    <xf numFmtId="0" fontId="0" fillId="0" borderId="19" xfId="0" applyBorder="1" applyAlignment="1">
      <alignment horizontal="center" vertical="top" textRotation="90" wrapText="1"/>
    </xf>
    <xf numFmtId="49" fontId="13" fillId="0" borderId="41" xfId="7" applyNumberFormat="1" applyFont="1" applyFill="1" applyBorder="1" applyAlignment="1">
      <alignment horizontal="right"/>
    </xf>
    <xf numFmtId="49" fontId="5" fillId="0" borderId="83" xfId="7" applyNumberFormat="1" applyFont="1" applyFill="1" applyBorder="1" applyAlignment="1">
      <alignment horizontal="center" vertical="top" textRotation="90"/>
    </xf>
    <xf numFmtId="0" fontId="0" fillId="0" borderId="18" xfId="0" applyBorder="1" applyAlignment="1">
      <alignment horizontal="center" vertical="top" textRotation="90"/>
    </xf>
    <xf numFmtId="49" fontId="13" fillId="4" borderId="41" xfId="7" applyNumberFormat="1" applyFont="1" applyFill="1" applyBorder="1" applyAlignment="1">
      <alignment horizontal="right" vertical="top"/>
    </xf>
    <xf numFmtId="0" fontId="0" fillId="0" borderId="36" xfId="0" applyBorder="1" applyAlignment="1">
      <alignment horizontal="right" vertical="top"/>
    </xf>
    <xf numFmtId="0" fontId="0" fillId="0" borderId="90" xfId="0" applyBorder="1" applyAlignment="1">
      <alignment horizontal="right" vertical="top"/>
    </xf>
    <xf numFmtId="0" fontId="13" fillId="0" borderId="44" xfId="3" applyFont="1" applyFill="1" applyBorder="1" applyAlignment="1">
      <alignment horizontal="right" vertical="top"/>
    </xf>
    <xf numFmtId="0" fontId="30" fillId="0" borderId="45" xfId="0" applyFont="1" applyBorder="1" applyAlignment="1">
      <alignment vertical="top"/>
    </xf>
    <xf numFmtId="0" fontId="30" fillId="0" borderId="76" xfId="0" applyFont="1" applyBorder="1" applyAlignment="1">
      <alignment vertical="top"/>
    </xf>
    <xf numFmtId="0" fontId="0" fillId="0" borderId="0" xfId="0" applyBorder="1" applyAlignment="1">
      <alignment vertical="top"/>
    </xf>
    <xf numFmtId="0" fontId="0" fillId="0" borderId="75" xfId="0" applyBorder="1" applyAlignment="1">
      <alignment vertical="top"/>
    </xf>
    <xf numFmtId="0" fontId="5" fillId="0" borderId="71" xfId="0" applyNumberFormat="1" applyFont="1" applyFill="1" applyBorder="1" applyAlignment="1">
      <alignment horizontal="left" vertical="center"/>
    </xf>
    <xf numFmtId="0" fontId="0" fillId="0" borderId="61" xfId="0" applyBorder="1" applyAlignment="1">
      <alignment vertical="center"/>
    </xf>
    <xf numFmtId="0" fontId="0" fillId="0" borderId="44" xfId="0" applyFill="1" applyBorder="1" applyAlignment="1">
      <alignment horizontal="left" vertical="center" wrapText="1"/>
    </xf>
    <xf numFmtId="0" fontId="0" fillId="0" borderId="45" xfId="0" applyFill="1" applyBorder="1" applyAlignment="1">
      <alignment horizontal="left" vertical="center" wrapText="1"/>
    </xf>
    <xf numFmtId="0" fontId="0" fillId="0" borderId="73" xfId="0" applyFill="1" applyBorder="1" applyAlignment="1">
      <alignment horizontal="left" vertical="center" wrapText="1"/>
    </xf>
    <xf numFmtId="49" fontId="5" fillId="0" borderId="58" xfId="0" applyNumberFormat="1" applyFont="1" applyFill="1" applyBorder="1" applyAlignment="1">
      <alignment horizontal="left" vertical="center"/>
    </xf>
    <xf numFmtId="0" fontId="13" fillId="0" borderId="0" xfId="3" applyFont="1" applyFill="1" applyBorder="1" applyAlignment="1">
      <alignment horizontal="right" vertical="top"/>
    </xf>
    <xf numFmtId="0" fontId="0" fillId="0" borderId="78" xfId="0" applyFill="1" applyBorder="1" applyAlignment="1">
      <alignment vertical="center"/>
    </xf>
    <xf numFmtId="0" fontId="0" fillId="0" borderId="0" xfId="0" applyFill="1" applyBorder="1" applyAlignment="1">
      <alignment vertical="center"/>
    </xf>
    <xf numFmtId="0" fontId="0" fillId="0" borderId="29" xfId="0" applyFill="1" applyBorder="1" applyAlignment="1">
      <alignment vertical="center"/>
    </xf>
    <xf numFmtId="49" fontId="5" fillId="0" borderId="83" xfId="7" applyNumberFormat="1" applyFont="1" applyFill="1" applyBorder="1" applyAlignment="1">
      <alignment horizontal="center" textRotation="90" wrapText="1"/>
    </xf>
    <xf numFmtId="0" fontId="0" fillId="0" borderId="18" xfId="0" applyBorder="1" applyAlignment="1">
      <alignment horizontal="center" textRotation="90" wrapText="1"/>
    </xf>
    <xf numFmtId="0" fontId="3" fillId="0" borderId="63" xfId="3" applyFont="1" applyBorder="1" applyAlignment="1">
      <alignment horizontal="center" vertical="center"/>
    </xf>
    <xf numFmtId="0" fontId="3" fillId="0" borderId="64" xfId="3" applyFont="1" applyBorder="1" applyAlignment="1">
      <alignment horizontal="center" vertical="center"/>
    </xf>
    <xf numFmtId="0" fontId="3" fillId="0" borderId="65" xfId="3" applyFont="1" applyBorder="1" applyAlignment="1">
      <alignment horizontal="center" vertical="center"/>
    </xf>
    <xf numFmtId="0" fontId="18" fillId="0" borderId="66" xfId="3" applyFont="1" applyBorder="1" applyAlignment="1">
      <alignment horizontal="center" vertical="center" wrapText="1"/>
    </xf>
    <xf numFmtId="0" fontId="18" fillId="0" borderId="67" xfId="3" applyFont="1" applyBorder="1" applyAlignment="1">
      <alignment horizontal="center" vertical="center" wrapText="1"/>
    </xf>
    <xf numFmtId="0" fontId="18" fillId="4" borderId="4" xfId="3" applyFont="1" applyFill="1" applyBorder="1" applyAlignment="1">
      <alignment horizontal="center" vertical="center"/>
    </xf>
    <xf numFmtId="0" fontId="18" fillId="4" borderId="6" xfId="3" applyFont="1" applyFill="1" applyBorder="1" applyAlignment="1">
      <alignment horizontal="center" vertical="center"/>
    </xf>
    <xf numFmtId="0" fontId="18" fillId="4" borderId="68" xfId="3" applyFont="1" applyFill="1" applyBorder="1" applyAlignment="1">
      <alignment horizontal="center" vertical="center"/>
    </xf>
    <xf numFmtId="0" fontId="18" fillId="0" borderId="74" xfId="3" applyFont="1" applyBorder="1" applyAlignment="1">
      <alignment horizontal="center" vertical="center" textRotation="90" wrapText="1" shrinkToFit="1"/>
    </xf>
    <xf numFmtId="0" fontId="18" fillId="0" borderId="75" xfId="3" applyFont="1" applyBorder="1" applyAlignment="1">
      <alignment horizontal="center" vertical="center" textRotation="90" wrapText="1" shrinkToFit="1"/>
    </xf>
    <xf numFmtId="0" fontId="18" fillId="0" borderId="76" xfId="3" applyFont="1" applyBorder="1" applyAlignment="1">
      <alignment horizontal="center" vertical="center" textRotation="90" wrapText="1" shrinkToFit="1"/>
    </xf>
    <xf numFmtId="0" fontId="18" fillId="0" borderId="71" xfId="3" applyFont="1" applyBorder="1" applyAlignment="1">
      <alignment horizontal="center" vertical="center" textRotation="90" wrapText="1" shrinkToFit="1"/>
    </xf>
    <xf numFmtId="0" fontId="18" fillId="0" borderId="61" xfId="3" applyFont="1" applyBorder="1" applyAlignment="1">
      <alignment horizontal="center" vertical="center" textRotation="90" wrapText="1" shrinkToFit="1"/>
    </xf>
    <xf numFmtId="0" fontId="18" fillId="0" borderId="22" xfId="3" applyFont="1" applyBorder="1" applyAlignment="1">
      <alignment horizontal="center" vertical="center" textRotation="90" wrapText="1" shrinkToFit="1"/>
    </xf>
    <xf numFmtId="0" fontId="18" fillId="0" borderId="72" xfId="3" applyFont="1" applyBorder="1" applyAlignment="1">
      <alignment horizontal="center" vertical="center" textRotation="90" wrapText="1" shrinkToFit="1"/>
    </xf>
    <xf numFmtId="0" fontId="18" fillId="0" borderId="29" xfId="3" applyFont="1" applyBorder="1" applyAlignment="1">
      <alignment horizontal="center" vertical="center" textRotation="90" wrapText="1" shrinkToFit="1"/>
    </xf>
    <xf numFmtId="0" fontId="18" fillId="0" borderId="73" xfId="3" applyFont="1" applyBorder="1" applyAlignment="1">
      <alignment horizontal="center" vertical="center" textRotation="90" wrapText="1" shrinkToFit="1"/>
    </xf>
    <xf numFmtId="0" fontId="18" fillId="0" borderId="15" xfId="3" applyFont="1" applyBorder="1" applyAlignment="1">
      <alignment horizontal="center" vertical="center" textRotation="90" wrapText="1" shrinkToFit="1"/>
    </xf>
    <xf numFmtId="0" fontId="18" fillId="0" borderId="0" xfId="3" applyFont="1" applyBorder="1" applyAlignment="1">
      <alignment horizontal="center" vertical="center" textRotation="90" wrapText="1" shrinkToFit="1"/>
    </xf>
    <xf numFmtId="0" fontId="18" fillId="0" borderId="45" xfId="3" applyFont="1" applyBorder="1" applyAlignment="1">
      <alignment horizontal="center" vertical="center" textRotation="90" wrapText="1" shrinkToFit="1"/>
    </xf>
    <xf numFmtId="0" fontId="0" fillId="0" borderId="0" xfId="0" applyFill="1" applyAlignment="1">
      <alignment vertical="center"/>
    </xf>
    <xf numFmtId="165" fontId="22" fillId="0" borderId="87" xfId="7" applyNumberFormat="1" applyFont="1" applyFill="1" applyBorder="1" applyAlignment="1">
      <alignment horizontal="right"/>
    </xf>
    <xf numFmtId="0" fontId="0" fillId="0" borderId="28" xfId="0" applyFill="1" applyBorder="1" applyAlignment="1">
      <alignment horizontal="right"/>
    </xf>
    <xf numFmtId="0" fontId="0" fillId="0" borderId="28" xfId="0" applyBorder="1" applyAlignment="1">
      <alignment horizontal="right"/>
    </xf>
    <xf numFmtId="0" fontId="0" fillId="0" borderId="15" xfId="0" applyBorder="1" applyAlignment="1"/>
    <xf numFmtId="0" fontId="0" fillId="0" borderId="74" xfId="0" applyBorder="1" applyAlignment="1"/>
    <xf numFmtId="0" fontId="0" fillId="0" borderId="78" xfId="0" applyBorder="1" applyAlignment="1"/>
    <xf numFmtId="0" fontId="0" fillId="0" borderId="0" xfId="0" applyBorder="1" applyAlignment="1"/>
    <xf numFmtId="0" fontId="0" fillId="0" borderId="75" xfId="0" applyBorder="1" applyAlignment="1"/>
    <xf numFmtId="0" fontId="30" fillId="0" borderId="42" xfId="0" applyFont="1" applyBorder="1" applyAlignment="1">
      <alignment vertical="top"/>
    </xf>
    <xf numFmtId="0" fontId="5" fillId="0" borderId="2" xfId="0" applyNumberFormat="1" applyFont="1" applyFill="1" applyBorder="1" applyAlignment="1">
      <alignment horizontal="right" vertical="center"/>
    </xf>
    <xf numFmtId="49" fontId="5" fillId="0" borderId="2" xfId="0" applyNumberFormat="1" applyFont="1" applyFill="1" applyBorder="1" applyAlignment="1">
      <alignment horizontal="right" vertical="center"/>
    </xf>
    <xf numFmtId="0" fontId="5" fillId="0" borderId="23" xfId="0" applyNumberFormat="1" applyFont="1" applyFill="1" applyBorder="1" applyAlignment="1">
      <alignment horizontal="right" vertical="center"/>
    </xf>
    <xf numFmtId="49" fontId="5" fillId="0" borderId="23" xfId="0" applyNumberFormat="1" applyFont="1" applyFill="1" applyBorder="1" applyAlignment="1">
      <alignment horizontal="right" vertical="center"/>
    </xf>
    <xf numFmtId="0" fontId="18" fillId="0" borderId="69" xfId="3" applyFont="1" applyBorder="1" applyAlignment="1">
      <alignment horizontal="center" vertical="center" textRotation="90" wrapText="1" shrinkToFit="1"/>
    </xf>
    <xf numFmtId="0" fontId="18" fillId="0" borderId="70" xfId="3" applyFont="1" applyBorder="1" applyAlignment="1">
      <alignment horizontal="center" vertical="center" textRotation="90" wrapText="1" shrinkToFit="1"/>
    </xf>
    <xf numFmtId="0" fontId="18" fillId="0" borderId="67" xfId="3" applyFont="1" applyBorder="1" applyAlignment="1">
      <alignment horizontal="center" vertical="center" textRotation="90" wrapText="1" shrinkToFit="1"/>
    </xf>
    <xf numFmtId="0" fontId="18" fillId="0" borderId="71" xfId="3" applyFont="1" applyBorder="1" applyAlignment="1">
      <alignment horizontal="center" vertical="center" textRotation="88" wrapText="1"/>
    </xf>
    <xf numFmtId="0" fontId="18" fillId="0" borderId="61" xfId="3" applyFont="1" applyBorder="1" applyAlignment="1">
      <alignment horizontal="center" vertical="center" textRotation="88" wrapText="1"/>
    </xf>
    <xf numFmtId="0" fontId="18" fillId="0" borderId="22" xfId="3" applyFont="1" applyBorder="1" applyAlignment="1">
      <alignment horizontal="center" vertical="center" textRotation="88" wrapText="1"/>
    </xf>
    <xf numFmtId="0" fontId="18" fillId="0" borderId="62" xfId="3" applyFont="1" applyBorder="1" applyAlignment="1">
      <alignment horizontal="center" vertical="center" textRotation="90" wrapText="1" shrinkToFit="1"/>
    </xf>
    <xf numFmtId="0" fontId="18" fillId="0" borderId="1" xfId="3" applyFont="1" applyBorder="1" applyAlignment="1">
      <alignment horizontal="center" vertical="center" textRotation="90" wrapText="1" shrinkToFit="1"/>
    </xf>
    <xf numFmtId="0" fontId="18" fillId="0" borderId="60" xfId="3" applyFont="1" applyBorder="1" applyAlignment="1">
      <alignment horizontal="center" vertical="center" textRotation="90" wrapText="1" shrinkToFit="1"/>
    </xf>
    <xf numFmtId="49" fontId="26" fillId="0" borderId="83" xfId="7" applyNumberFormat="1" applyFont="1" applyFill="1" applyBorder="1" applyAlignment="1">
      <alignment horizontal="center" vertical="top" textRotation="90"/>
    </xf>
    <xf numFmtId="0" fontId="27" fillId="0" borderId="18" xfId="0" applyFont="1" applyBorder="1" applyAlignment="1">
      <alignment horizontal="center" vertical="top" textRotation="90"/>
    </xf>
    <xf numFmtId="0" fontId="27" fillId="0" borderId="19" xfId="0" applyFont="1" applyBorder="1" applyAlignment="1">
      <alignment horizontal="center" vertical="top" textRotation="90"/>
    </xf>
    <xf numFmtId="0" fontId="13" fillId="0" borderId="91" xfId="3" applyFont="1" applyFill="1" applyBorder="1" applyAlignment="1">
      <alignment horizontal="right" vertical="top"/>
    </xf>
    <xf numFmtId="0" fontId="0" fillId="0" borderId="53" xfId="0" applyBorder="1" applyAlignment="1">
      <alignment vertical="top"/>
    </xf>
    <xf numFmtId="0" fontId="0" fillId="0" borderId="46" xfId="0" applyBorder="1" applyAlignment="1">
      <alignment vertical="top"/>
    </xf>
    <xf numFmtId="0" fontId="0" fillId="0" borderId="15" xfId="0" applyFill="1" applyBorder="1" applyAlignment="1">
      <alignment vertical="center" wrapText="1"/>
    </xf>
    <xf numFmtId="0" fontId="0" fillId="0" borderId="72" xfId="0" applyFill="1" applyBorder="1" applyAlignment="1">
      <alignment vertical="center" wrapText="1"/>
    </xf>
    <xf numFmtId="0" fontId="0" fillId="0" borderId="78" xfId="0" applyFill="1" applyBorder="1" applyAlignment="1">
      <alignment vertical="center" wrapText="1"/>
    </xf>
    <xf numFmtId="0" fontId="0" fillId="0" borderId="0" xfId="0" applyFill="1" applyBorder="1" applyAlignment="1">
      <alignment vertical="center" wrapText="1"/>
    </xf>
    <xf numFmtId="0" fontId="0" fillId="0" borderId="29" xfId="0" applyFill="1" applyBorder="1" applyAlignment="1">
      <alignment vertical="center" wrapText="1"/>
    </xf>
    <xf numFmtId="0" fontId="0" fillId="0" borderId="44" xfId="0" applyFill="1" applyBorder="1" applyAlignment="1">
      <alignment vertical="center" wrapText="1"/>
    </xf>
    <xf numFmtId="0" fontId="0" fillId="0" borderId="45" xfId="0" applyFill="1" applyBorder="1" applyAlignment="1">
      <alignment vertical="center" wrapText="1"/>
    </xf>
    <xf numFmtId="0" fontId="0" fillId="0" borderId="73" xfId="0" applyFill="1" applyBorder="1" applyAlignment="1">
      <alignment vertical="center" wrapText="1"/>
    </xf>
    <xf numFmtId="49" fontId="13" fillId="0" borderId="41" xfId="7" applyNumberFormat="1" applyFont="1" applyFill="1" applyBorder="1" applyAlignment="1">
      <alignment horizontal="right" vertical="top"/>
    </xf>
    <xf numFmtId="0" fontId="30" fillId="0" borderId="36" xfId="0" applyFont="1" applyBorder="1" applyAlignment="1">
      <alignment horizontal="right" vertical="top"/>
    </xf>
    <xf numFmtId="49" fontId="5" fillId="0" borderId="78" xfId="7" applyNumberFormat="1"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29" xfId="0" applyFont="1" applyFill="1" applyBorder="1" applyAlignment="1">
      <alignment horizontal="left" vertical="center" wrapText="1"/>
    </xf>
    <xf numFmtId="0" fontId="1" fillId="0" borderId="44" xfId="0"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0" borderId="73" xfId="0" applyFont="1" applyFill="1" applyBorder="1" applyAlignment="1">
      <alignment horizontal="left" vertical="center" wrapText="1"/>
    </xf>
    <xf numFmtId="0" fontId="0" fillId="0" borderId="36" xfId="0" applyBorder="1" applyAlignment="1"/>
    <xf numFmtId="0" fontId="13" fillId="0" borderId="69" xfId="3" applyFont="1" applyFill="1" applyBorder="1" applyAlignment="1">
      <alignment horizontal="right" vertical="top"/>
    </xf>
    <xf numFmtId="0" fontId="0" fillId="0" borderId="71" xfId="0" applyBorder="1" applyAlignment="1">
      <alignment vertical="top"/>
    </xf>
    <xf numFmtId="0" fontId="0" fillId="0" borderId="79" xfId="0" applyBorder="1" applyAlignment="1">
      <alignment vertical="top"/>
    </xf>
    <xf numFmtId="49" fontId="5" fillId="0" borderId="82" xfId="7" applyNumberFormat="1"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85" xfId="0" applyFill="1" applyBorder="1" applyAlignment="1">
      <alignment horizontal="left" vertical="center" wrapText="1"/>
    </xf>
    <xf numFmtId="0" fontId="0" fillId="0" borderId="24" xfId="0" applyFill="1" applyBorder="1" applyAlignment="1">
      <alignment horizontal="left" vertical="center" wrapText="1"/>
    </xf>
    <xf numFmtId="49" fontId="26" fillId="0" borderId="77" xfId="7" applyNumberFormat="1" applyFont="1" applyFill="1" applyBorder="1" applyAlignment="1">
      <alignment horizontal="center" vertical="top" textRotation="90"/>
    </xf>
    <xf numFmtId="0" fontId="27" fillId="0" borderId="78" xfId="0" applyFont="1" applyBorder="1" applyAlignment="1">
      <alignment horizontal="center" vertical="top" textRotation="90"/>
    </xf>
    <xf numFmtId="0" fontId="0" fillId="0" borderId="78" xfId="0" applyBorder="1" applyAlignment="1">
      <alignment horizontal="center" vertical="top" textRotation="90"/>
    </xf>
    <xf numFmtId="0" fontId="0" fillId="0" borderId="44" xfId="0" applyBorder="1" applyAlignment="1">
      <alignment horizontal="center" vertical="top" textRotation="90"/>
    </xf>
    <xf numFmtId="49" fontId="5" fillId="0" borderId="18" xfId="7" applyNumberFormat="1" applyFont="1" applyFill="1" applyBorder="1" applyAlignment="1">
      <alignment horizontal="center" vertical="top" textRotation="90"/>
    </xf>
    <xf numFmtId="0" fontId="0" fillId="0" borderId="19" xfId="0" applyBorder="1" applyAlignment="1">
      <alignment horizontal="center" vertical="top" textRotation="90"/>
    </xf>
    <xf numFmtId="0" fontId="0" fillId="0" borderId="15" xfId="0" applyBorder="1" applyAlignment="1">
      <alignment vertical="top"/>
    </xf>
    <xf numFmtId="0" fontId="0" fillId="0" borderId="45" xfId="0" applyBorder="1" applyAlignment="1">
      <alignment vertical="top"/>
    </xf>
    <xf numFmtId="165" fontId="15" fillId="0" borderId="58" xfId="7" applyNumberFormat="1" applyFont="1" applyFill="1" applyBorder="1" applyAlignment="1">
      <alignment horizontal="right" vertical="center"/>
    </xf>
    <xf numFmtId="0" fontId="0" fillId="0" borderId="0" xfId="0" applyFill="1" applyBorder="1" applyAlignment="1">
      <alignment horizontal="left" vertical="center" wrapText="1"/>
    </xf>
    <xf numFmtId="0" fontId="0" fillId="0" borderId="29" xfId="0" applyFill="1" applyBorder="1" applyAlignment="1">
      <alignment horizontal="left" vertical="center" wrapText="1"/>
    </xf>
    <xf numFmtId="165" fontId="5" fillId="0" borderId="72" xfId="7" applyNumberFormat="1" applyFont="1" applyFill="1" applyBorder="1" applyAlignment="1">
      <alignment horizontal="right" vertical="center"/>
    </xf>
    <xf numFmtId="0" fontId="0" fillId="0" borderId="73" xfId="0" applyBorder="1" applyAlignment="1">
      <alignment horizontal="right" vertical="center"/>
    </xf>
    <xf numFmtId="0" fontId="0" fillId="0" borderId="2" xfId="0" applyBorder="1" applyAlignment="1">
      <alignment horizontal="right" vertical="center"/>
    </xf>
    <xf numFmtId="49" fontId="5" fillId="0" borderId="91" xfId="7" applyNumberFormat="1" applyFont="1" applyFill="1" applyBorder="1" applyAlignment="1">
      <alignment horizontal="left" vertical="center"/>
    </xf>
    <xf numFmtId="0" fontId="0" fillId="0" borderId="53" xfId="0" applyFill="1" applyBorder="1" applyAlignment="1">
      <alignment vertical="center"/>
    </xf>
    <xf numFmtId="0" fontId="0" fillId="0" borderId="44" xfId="0" applyBorder="1" applyAlignment="1"/>
    <xf numFmtId="0" fontId="0" fillId="0" borderId="45" xfId="0" applyBorder="1" applyAlignment="1"/>
    <xf numFmtId="165" fontId="5" fillId="0" borderId="13" xfId="7" applyNumberFormat="1" applyFont="1" applyFill="1" applyBorder="1" applyAlignment="1">
      <alignment horizontal="right" vertical="center"/>
    </xf>
    <xf numFmtId="49" fontId="5" fillId="0" borderId="2" xfId="7" applyNumberFormat="1" applyFont="1" applyFill="1" applyBorder="1" applyAlignment="1">
      <alignment horizontal="center" vertical="center"/>
    </xf>
    <xf numFmtId="0" fontId="0" fillId="0" borderId="12" xfId="0" applyBorder="1" applyAlignment="1">
      <alignment horizontal="center" vertical="center"/>
    </xf>
    <xf numFmtId="165" fontId="5" fillId="0" borderId="102" xfId="7" applyNumberFormat="1" applyFont="1" applyFill="1" applyBorder="1" applyAlignment="1">
      <alignment horizontal="right" vertical="center"/>
    </xf>
    <xf numFmtId="0" fontId="0" fillId="0" borderId="103" xfId="0" applyBorder="1" applyAlignment="1">
      <alignment horizontal="right" vertical="center"/>
    </xf>
    <xf numFmtId="0" fontId="0" fillId="0" borderId="13" xfId="0" applyBorder="1" applyAlignment="1">
      <alignment horizontal="right" vertical="center"/>
    </xf>
    <xf numFmtId="165" fontId="5" fillId="0" borderId="104" xfId="7" applyNumberFormat="1" applyFont="1" applyFill="1" applyBorder="1" applyAlignment="1">
      <alignment horizontal="right" vertical="center"/>
    </xf>
    <xf numFmtId="0" fontId="0" fillId="0" borderId="29" xfId="0" applyBorder="1" applyAlignment="1">
      <alignment horizontal="right" vertical="center"/>
    </xf>
    <xf numFmtId="0" fontId="0" fillId="0" borderId="61" xfId="0" applyBorder="1" applyAlignment="1">
      <alignment horizontal="center" vertical="center"/>
    </xf>
    <xf numFmtId="49" fontId="5" fillId="0" borderId="15" xfId="7" applyNumberFormat="1" applyFont="1" applyFill="1" applyBorder="1" applyAlignment="1">
      <alignment horizontal="left" vertical="center" wrapText="1"/>
    </xf>
    <xf numFmtId="49" fontId="5" fillId="0" borderId="72" xfId="7" applyNumberFormat="1" applyFont="1" applyFill="1" applyBorder="1" applyAlignment="1">
      <alignment horizontal="left" vertical="center" wrapText="1"/>
    </xf>
    <xf numFmtId="0" fontId="5" fillId="0" borderId="2" xfId="7" applyNumberFormat="1" applyFont="1" applyFill="1" applyBorder="1" applyAlignment="1">
      <alignment horizontal="left" vertical="center"/>
    </xf>
    <xf numFmtId="165" fontId="5" fillId="0" borderId="2" xfId="7" applyNumberFormat="1" applyFont="1" applyFill="1" applyBorder="1" applyAlignment="1">
      <alignment horizontal="right" vertical="center"/>
    </xf>
    <xf numFmtId="0" fontId="5" fillId="0" borderId="71" xfId="7" applyNumberFormat="1" applyFont="1" applyFill="1" applyBorder="1" applyAlignment="1">
      <alignment horizontal="left" vertical="center"/>
    </xf>
    <xf numFmtId="0" fontId="0" fillId="0" borderId="22" xfId="0" applyFill="1" applyBorder="1" applyAlignment="1">
      <alignment horizontal="left" vertical="center"/>
    </xf>
    <xf numFmtId="0" fontId="0" fillId="0" borderId="22" xfId="0" applyFill="1" applyBorder="1" applyAlignment="1">
      <alignment horizontal="center" vertical="center"/>
    </xf>
    <xf numFmtId="0" fontId="0" fillId="0" borderId="22" xfId="0" applyFill="1" applyBorder="1" applyAlignment="1">
      <alignment horizontal="right" vertical="center"/>
    </xf>
    <xf numFmtId="49" fontId="5" fillId="0" borderId="58" xfId="7" applyNumberFormat="1" applyFont="1" applyFill="1" applyBorder="1" applyAlignment="1">
      <alignment horizontal="left" vertical="center" wrapText="1"/>
    </xf>
    <xf numFmtId="0" fontId="0" fillId="0" borderId="17" xfId="0" applyFill="1" applyBorder="1" applyAlignment="1">
      <alignment horizontal="left" vertical="center" wrapText="1"/>
    </xf>
    <xf numFmtId="0" fontId="5" fillId="0" borderId="58" xfId="7" applyNumberFormat="1" applyFont="1" applyFill="1" applyBorder="1" applyAlignment="1">
      <alignment horizontal="left" vertical="center"/>
    </xf>
    <xf numFmtId="165" fontId="5" fillId="0" borderId="97" xfId="7" applyNumberFormat="1" applyFont="1" applyFill="1" applyBorder="1" applyAlignment="1">
      <alignment horizontal="right" vertical="center"/>
    </xf>
    <xf numFmtId="0" fontId="0" fillId="0" borderId="39" xfId="0" applyBorder="1" applyAlignment="1">
      <alignment horizontal="right" vertical="center"/>
    </xf>
    <xf numFmtId="0" fontId="0" fillId="0" borderId="2" xfId="0" applyBorder="1" applyAlignment="1">
      <alignment vertical="center"/>
    </xf>
    <xf numFmtId="0" fontId="0" fillId="0" borderId="24" xfId="0" applyBorder="1" applyAlignment="1">
      <alignment vertical="center"/>
    </xf>
    <xf numFmtId="0" fontId="5" fillId="0" borderId="41" xfId="3" applyFont="1" applyFill="1" applyBorder="1" applyAlignment="1">
      <alignment horizontal="left" vertical="center" wrapText="1"/>
    </xf>
    <xf numFmtId="0" fontId="6" fillId="0" borderId="36" xfId="0" applyFont="1" applyFill="1" applyBorder="1" applyAlignment="1">
      <alignment horizontal="left" vertical="center" wrapText="1"/>
    </xf>
    <xf numFmtId="0" fontId="6" fillId="0" borderId="86" xfId="0" applyFont="1" applyFill="1" applyBorder="1" applyAlignment="1">
      <alignment horizontal="left" vertical="center" wrapText="1"/>
    </xf>
    <xf numFmtId="49" fontId="5" fillId="0" borderId="13" xfId="7" applyNumberFormat="1" applyFont="1" applyFill="1" applyBorder="1" applyAlignment="1">
      <alignment horizontal="left" vertical="center"/>
    </xf>
    <xf numFmtId="49" fontId="5" fillId="0" borderId="100" xfId="7" applyNumberFormat="1" applyFont="1" applyFill="1" applyBorder="1" applyAlignment="1">
      <alignment horizontal="center" vertical="center"/>
    </xf>
    <xf numFmtId="0" fontId="0" fillId="0" borderId="101" xfId="0" applyBorder="1" applyAlignment="1">
      <alignment horizontal="center" vertical="center"/>
    </xf>
    <xf numFmtId="0" fontId="0" fillId="0" borderId="24" xfId="0" applyFill="1" applyBorder="1" applyAlignment="1">
      <alignment horizontal="left" vertical="center"/>
    </xf>
    <xf numFmtId="0" fontId="0" fillId="0" borderId="24" xfId="0" applyFill="1" applyBorder="1" applyAlignment="1">
      <alignment horizontal="center" vertical="center"/>
    </xf>
    <xf numFmtId="0" fontId="0" fillId="0" borderId="58" xfId="0" applyFill="1" applyBorder="1" applyAlignment="1">
      <alignment vertical="center" wrapText="1"/>
    </xf>
    <xf numFmtId="0" fontId="0" fillId="0" borderId="85" xfId="0" applyFill="1" applyBorder="1" applyAlignment="1">
      <alignment vertical="center" wrapText="1"/>
    </xf>
    <xf numFmtId="0" fontId="0" fillId="0" borderId="24" xfId="0" applyFill="1" applyBorder="1" applyAlignment="1">
      <alignment vertical="center" wrapText="1"/>
    </xf>
    <xf numFmtId="0" fontId="5" fillId="0" borderId="58" xfId="7" applyNumberFormat="1" applyFont="1" applyFill="1" applyBorder="1" applyAlignment="1">
      <alignment horizontal="center" vertical="center"/>
    </xf>
    <xf numFmtId="165" fontId="5" fillId="0" borderId="58" xfId="7" applyNumberFormat="1" applyFont="1" applyFill="1" applyBorder="1" applyAlignment="1">
      <alignment vertical="center"/>
    </xf>
    <xf numFmtId="0" fontId="10" fillId="0" borderId="36" xfId="0" applyFont="1" applyBorder="1" applyAlignment="1">
      <alignment horizontal="right" vertical="top"/>
    </xf>
    <xf numFmtId="0" fontId="10" fillId="0" borderId="90" xfId="0" applyFont="1" applyBorder="1" applyAlignment="1">
      <alignment horizontal="right" vertical="top"/>
    </xf>
    <xf numFmtId="0" fontId="0" fillId="0" borderId="36" xfId="0" applyBorder="1" applyAlignment="1">
      <alignment horizontal="right"/>
    </xf>
    <xf numFmtId="0" fontId="0" fillId="0" borderId="90" xfId="0" applyBorder="1" applyAlignment="1">
      <alignment horizontal="right"/>
    </xf>
    <xf numFmtId="0" fontId="0" fillId="0" borderId="36" xfId="0" applyFill="1" applyBorder="1" applyAlignment="1">
      <alignment vertical="top"/>
    </xf>
    <xf numFmtId="0" fontId="0" fillId="0" borderId="90" xfId="0" applyFill="1" applyBorder="1" applyAlignment="1">
      <alignment vertical="top"/>
    </xf>
    <xf numFmtId="165" fontId="5" fillId="0" borderId="71" xfId="7" applyNumberFormat="1" applyFont="1" applyFill="1" applyBorder="1" applyAlignment="1">
      <alignment vertical="center"/>
    </xf>
    <xf numFmtId="0" fontId="10" fillId="0" borderId="15" xfId="0" applyFont="1" applyBorder="1" applyAlignment="1">
      <alignment vertical="top"/>
    </xf>
    <xf numFmtId="0" fontId="10" fillId="0" borderId="74" xfId="0" applyFont="1" applyBorder="1" applyAlignment="1">
      <alignment vertical="top"/>
    </xf>
    <xf numFmtId="0" fontId="0" fillId="0" borderId="44" xfId="0" applyBorder="1" applyAlignment="1">
      <alignment horizontal="center" vertical="center" textRotation="90" wrapText="1"/>
    </xf>
    <xf numFmtId="0" fontId="10" fillId="0" borderId="36" xfId="0" applyFont="1" applyBorder="1" applyAlignment="1">
      <alignment vertical="top"/>
    </xf>
    <xf numFmtId="0" fontId="10" fillId="0" borderId="90" xfId="0" applyFont="1" applyBorder="1" applyAlignment="1">
      <alignment vertical="top"/>
    </xf>
    <xf numFmtId="1" fontId="5" fillId="0" borderId="71" xfId="7" applyNumberFormat="1" applyFont="1" applyFill="1" applyBorder="1" applyAlignment="1">
      <alignment vertical="center" wrapText="1"/>
    </xf>
    <xf numFmtId="0" fontId="0" fillId="0" borderId="22" xfId="0" applyFill="1" applyBorder="1" applyAlignment="1">
      <alignment vertical="center"/>
    </xf>
    <xf numFmtId="1" fontId="5" fillId="0" borderId="71" xfId="7" applyNumberFormat="1" applyFont="1" applyFill="1" applyBorder="1" applyAlignment="1">
      <alignment horizontal="left" vertical="center" wrapText="1"/>
    </xf>
    <xf numFmtId="1" fontId="5" fillId="0" borderId="13" xfId="7" applyNumberFormat="1" applyFont="1" applyFill="1" applyBorder="1" applyAlignment="1">
      <alignment horizontal="left" vertical="center" wrapText="1"/>
    </xf>
    <xf numFmtId="165" fontId="15" fillId="0" borderId="71" xfId="7" applyNumberFormat="1" applyFont="1" applyFill="1" applyBorder="1" applyAlignment="1">
      <alignment horizontal="right" vertical="center"/>
    </xf>
    <xf numFmtId="0" fontId="0" fillId="0" borderId="13" xfId="0" applyFill="1" applyBorder="1" applyAlignment="1">
      <alignment horizontal="right" vertical="center"/>
    </xf>
    <xf numFmtId="0" fontId="0" fillId="0" borderId="13" xfId="0" applyBorder="1" applyAlignment="1">
      <alignment vertical="center"/>
    </xf>
    <xf numFmtId="165" fontId="15" fillId="0" borderId="12" xfId="7" applyNumberFormat="1" applyFont="1" applyFill="1" applyBorder="1" applyAlignment="1">
      <alignment horizontal="right" vertical="center"/>
    </xf>
    <xf numFmtId="0" fontId="0" fillId="0" borderId="61" xfId="0" applyFill="1" applyBorder="1" applyAlignment="1">
      <alignment horizontal="right" vertical="center"/>
    </xf>
    <xf numFmtId="165" fontId="5" fillId="0" borderId="12" xfId="7" applyNumberFormat="1" applyFont="1" applyFill="1" applyBorder="1" applyAlignment="1">
      <alignment vertical="center"/>
    </xf>
    <xf numFmtId="1" fontId="5" fillId="4" borderId="71" xfId="7" applyNumberFormat="1" applyFont="1" applyFill="1" applyBorder="1" applyAlignment="1">
      <alignment vertical="center" wrapText="1"/>
    </xf>
    <xf numFmtId="0" fontId="0" fillId="0" borderId="61" xfId="0" applyBorder="1" applyAlignment="1">
      <alignment vertical="center" wrapText="1"/>
    </xf>
    <xf numFmtId="1" fontId="5" fillId="0" borderId="61" xfId="7" applyNumberFormat="1" applyFont="1" applyFill="1" applyBorder="1" applyAlignment="1">
      <alignment horizontal="left" vertical="center" wrapText="1"/>
    </xf>
    <xf numFmtId="1" fontId="5" fillId="0" borderId="22" xfId="7" applyNumberFormat="1" applyFont="1" applyFill="1" applyBorder="1" applyAlignment="1">
      <alignment horizontal="left" vertical="center" wrapText="1"/>
    </xf>
    <xf numFmtId="49" fontId="4" fillId="0" borderId="41" xfId="7" applyNumberFormat="1" applyFont="1" applyFill="1" applyBorder="1" applyAlignment="1">
      <alignment horizontal="right" vertical="top"/>
    </xf>
    <xf numFmtId="49" fontId="5" fillId="0" borderId="41" xfId="7" applyNumberFormat="1" applyFont="1" applyFill="1" applyBorder="1" applyAlignment="1">
      <alignment horizontal="left" vertical="center" wrapText="1"/>
    </xf>
    <xf numFmtId="49" fontId="5" fillId="0" borderId="36" xfId="7" applyNumberFormat="1" applyFont="1" applyFill="1" applyBorder="1" applyAlignment="1">
      <alignment horizontal="left" vertical="center" wrapText="1"/>
    </xf>
    <xf numFmtId="49" fontId="5" fillId="0" borderId="86" xfId="7" applyNumberFormat="1" applyFont="1" applyFill="1" applyBorder="1" applyAlignment="1">
      <alignment horizontal="left" vertical="center" wrapText="1"/>
    </xf>
    <xf numFmtId="0" fontId="4" fillId="0" borderId="78" xfId="3" applyFont="1" applyFill="1" applyBorder="1" applyAlignment="1">
      <alignment horizontal="right" vertical="top"/>
    </xf>
    <xf numFmtId="0" fontId="4" fillId="0" borderId="0" xfId="0" applyFont="1" applyBorder="1" applyAlignment="1">
      <alignment vertical="top"/>
    </xf>
    <xf numFmtId="0" fontId="5" fillId="0" borderId="18" xfId="0" applyFont="1" applyBorder="1" applyAlignment="1">
      <alignment horizontal="center" vertical="center" textRotation="90" wrapText="1"/>
    </xf>
    <xf numFmtId="0" fontId="5" fillId="0" borderId="78" xfId="0" applyFont="1" applyBorder="1" applyAlignment="1">
      <alignment horizontal="center" vertical="center" textRotation="90" wrapText="1"/>
    </xf>
    <xf numFmtId="0" fontId="4" fillId="0" borderId="77" xfId="3" applyFont="1" applyFill="1" applyBorder="1" applyAlignment="1">
      <alignment horizontal="right" vertical="top"/>
    </xf>
    <xf numFmtId="0" fontId="4" fillId="0" borderId="15" xfId="0" applyFont="1" applyBorder="1" applyAlignment="1">
      <alignment vertical="top"/>
    </xf>
    <xf numFmtId="0" fontId="10" fillId="0" borderId="36" xfId="0" applyFont="1" applyBorder="1" applyAlignment="1">
      <alignment horizontal="right"/>
    </xf>
    <xf numFmtId="0" fontId="10" fillId="0" borderId="90" xfId="0" applyFont="1" applyBorder="1" applyAlignment="1">
      <alignment horizontal="right"/>
    </xf>
    <xf numFmtId="0" fontId="5" fillId="0" borderId="77" xfId="7" applyNumberFormat="1" applyFont="1" applyFill="1" applyBorder="1" applyAlignment="1">
      <alignment horizontal="left" vertical="center" wrapText="1"/>
    </xf>
    <xf numFmtId="0" fontId="5" fillId="0" borderId="15" xfId="0" applyFont="1" applyFill="1" applyBorder="1" applyAlignment="1">
      <alignment horizontal="left" vertical="center" wrapText="1"/>
    </xf>
    <xf numFmtId="0" fontId="4" fillId="0" borderId="0" xfId="0" applyFont="1" applyFill="1" applyBorder="1" applyAlignment="1">
      <alignment vertical="top"/>
    </xf>
    <xf numFmtId="0" fontId="4" fillId="0" borderId="75" xfId="0" applyFont="1" applyFill="1" applyBorder="1" applyAlignment="1">
      <alignment vertical="top"/>
    </xf>
    <xf numFmtId="0" fontId="4" fillId="0" borderId="15" xfId="3" applyFont="1" applyFill="1" applyBorder="1" applyAlignment="1">
      <alignment horizontal="right" vertical="top"/>
    </xf>
    <xf numFmtId="0" fontId="4" fillId="0" borderId="74" xfId="3" applyFont="1" applyFill="1" applyBorder="1" applyAlignment="1">
      <alignment horizontal="right" vertical="top"/>
    </xf>
    <xf numFmtId="49" fontId="5" fillId="0" borderId="58" xfId="0" applyNumberFormat="1" applyFont="1" applyFill="1" applyBorder="1" applyAlignment="1">
      <alignment vertical="center"/>
    </xf>
    <xf numFmtId="1" fontId="5" fillId="4" borderId="79" xfId="7" applyNumberFormat="1" applyFont="1" applyFill="1" applyBorder="1" applyAlignment="1">
      <alignment horizontal="right" vertical="center"/>
    </xf>
    <xf numFmtId="0" fontId="0" fillId="0" borderId="92" xfId="0" applyBorder="1" applyAlignment="1">
      <alignment horizontal="right" vertical="center"/>
    </xf>
    <xf numFmtId="49" fontId="5" fillId="0" borderId="71" xfId="0" applyNumberFormat="1" applyFont="1" applyFill="1" applyBorder="1" applyAlignment="1">
      <alignment vertical="center" wrapText="1"/>
    </xf>
    <xf numFmtId="49" fontId="5" fillId="0" borderId="61" xfId="0" applyNumberFormat="1" applyFont="1" applyFill="1" applyBorder="1" applyAlignment="1">
      <alignment vertical="center" wrapText="1"/>
    </xf>
    <xf numFmtId="0" fontId="0" fillId="0" borderId="61" xfId="0" applyFill="1" applyBorder="1" applyAlignment="1">
      <alignment vertical="center" wrapText="1"/>
    </xf>
    <xf numFmtId="0" fontId="0" fillId="0" borderId="22" xfId="0" applyFill="1" applyBorder="1" applyAlignment="1">
      <alignment vertical="center" wrapText="1"/>
    </xf>
    <xf numFmtId="0" fontId="0" fillId="0" borderId="36" xfId="0" applyFill="1" applyBorder="1" applyAlignment="1">
      <alignment vertical="center" wrapText="1"/>
    </xf>
    <xf numFmtId="0" fontId="0" fillId="0" borderId="86" xfId="0" applyFill="1" applyBorder="1" applyAlignment="1">
      <alignment vertical="center" wrapText="1"/>
    </xf>
    <xf numFmtId="0" fontId="10" fillId="0" borderId="36" xfId="0" applyFont="1" applyFill="1" applyBorder="1" applyAlignment="1">
      <alignment vertical="top"/>
    </xf>
    <xf numFmtId="0" fontId="10" fillId="0" borderId="90" xfId="0" applyFont="1" applyFill="1" applyBorder="1" applyAlignment="1">
      <alignment vertical="top"/>
    </xf>
    <xf numFmtId="0" fontId="13" fillId="0" borderId="15" xfId="3" applyFont="1" applyFill="1" applyBorder="1" applyAlignment="1">
      <alignment horizontal="right" vertical="top"/>
    </xf>
    <xf numFmtId="0" fontId="10" fillId="0" borderId="15" xfId="0" applyFont="1" applyFill="1" applyBorder="1" applyAlignment="1">
      <alignment vertical="top"/>
    </xf>
    <xf numFmtId="0" fontId="10" fillId="0" borderId="74" xfId="0" applyFont="1" applyFill="1" applyBorder="1" applyAlignment="1">
      <alignment vertical="top"/>
    </xf>
    <xf numFmtId="1" fontId="5" fillId="0" borderId="61" xfId="7" applyNumberFormat="1" applyFont="1" applyFill="1" applyBorder="1" applyAlignment="1">
      <alignment horizontal="right" vertical="center" wrapText="1"/>
    </xf>
    <xf numFmtId="1" fontId="5" fillId="0" borderId="22" xfId="7" applyNumberFormat="1" applyFont="1" applyFill="1" applyBorder="1" applyAlignment="1">
      <alignment horizontal="right" vertical="center" wrapText="1"/>
    </xf>
    <xf numFmtId="1" fontId="5" fillId="4" borderId="71" xfId="7" applyNumberFormat="1" applyFont="1" applyFill="1" applyBorder="1" applyAlignment="1">
      <alignment horizontal="right" vertical="center"/>
    </xf>
    <xf numFmtId="0" fontId="0" fillId="0" borderId="80" xfId="0" applyBorder="1" applyAlignment="1">
      <alignment horizontal="right" vertical="center"/>
    </xf>
    <xf numFmtId="1" fontId="5" fillId="0" borderId="71" xfId="7" applyNumberFormat="1" applyFont="1" applyFill="1" applyBorder="1" applyAlignment="1">
      <alignment horizontal="right" vertical="center" shrinkToFit="1"/>
    </xf>
    <xf numFmtId="1" fontId="5" fillId="0" borderId="13" xfId="7" applyNumberFormat="1" applyFont="1" applyFill="1" applyBorder="1" applyAlignment="1">
      <alignment horizontal="right" vertical="center" shrinkToFit="1"/>
    </xf>
    <xf numFmtId="1" fontId="5" fillId="0" borderId="71" xfId="7" applyNumberFormat="1" applyFont="1" applyFill="1" applyBorder="1" applyAlignment="1">
      <alignment horizontal="right" vertical="center"/>
    </xf>
    <xf numFmtId="1" fontId="5" fillId="0" borderId="13" xfId="7" applyNumberFormat="1" applyFont="1" applyFill="1" applyBorder="1" applyAlignment="1">
      <alignment horizontal="right" vertical="center"/>
    </xf>
    <xf numFmtId="1" fontId="5" fillId="0" borderId="79" xfId="7" applyNumberFormat="1" applyFont="1" applyFill="1" applyBorder="1" applyAlignment="1">
      <alignment horizontal="right" vertical="center"/>
    </xf>
    <xf numFmtId="1" fontId="5" fillId="0" borderId="56" xfId="7" applyNumberFormat="1" applyFont="1" applyFill="1" applyBorder="1" applyAlignment="1">
      <alignment horizontal="right" vertical="center"/>
    </xf>
    <xf numFmtId="49" fontId="5" fillId="0" borderId="44" xfId="7" applyNumberFormat="1" applyFont="1" applyFill="1" applyBorder="1" applyAlignment="1">
      <alignment horizontal="left" vertical="center" wrapText="1"/>
    </xf>
    <xf numFmtId="49" fontId="5" fillId="0" borderId="45" xfId="7" applyNumberFormat="1" applyFont="1" applyFill="1" applyBorder="1" applyAlignment="1">
      <alignment horizontal="left" vertical="center" wrapText="1"/>
    </xf>
    <xf numFmtId="49" fontId="5" fillId="0" borderId="73" xfId="7" applyNumberFormat="1" applyFont="1" applyFill="1" applyBorder="1" applyAlignment="1">
      <alignment horizontal="left" vertical="center" wrapText="1"/>
    </xf>
    <xf numFmtId="49" fontId="5" fillId="0" borderId="71" xfId="0" applyNumberFormat="1" applyFont="1" applyFill="1" applyBorder="1" applyAlignment="1">
      <alignment vertical="center"/>
    </xf>
    <xf numFmtId="49" fontId="5" fillId="0" borderId="87" xfId="7" applyNumberFormat="1" applyFont="1" applyFill="1" applyBorder="1" applyAlignment="1">
      <alignment horizontal="left" vertical="center"/>
    </xf>
    <xf numFmtId="0" fontId="0" fillId="0" borderId="54" xfId="0" applyFill="1" applyBorder="1" applyAlignment="1">
      <alignment vertical="center"/>
    </xf>
    <xf numFmtId="49" fontId="5" fillId="0" borderId="58" xfId="0" applyNumberFormat="1" applyFont="1" applyFill="1" applyBorder="1" applyAlignment="1">
      <alignment vertical="center" wrapText="1"/>
    </xf>
    <xf numFmtId="49" fontId="5" fillId="0" borderId="62" xfId="7" applyNumberFormat="1" applyFont="1" applyFill="1" applyBorder="1" applyAlignment="1">
      <alignment horizontal="left" vertical="center" wrapText="1"/>
    </xf>
    <xf numFmtId="0" fontId="13" fillId="0" borderId="45" xfId="3" applyFont="1" applyFill="1" applyBorder="1" applyAlignment="1">
      <alignment horizontal="right" vertical="top"/>
    </xf>
    <xf numFmtId="0" fontId="10" fillId="0" borderId="45" xfId="0" applyFont="1" applyBorder="1" applyAlignment="1">
      <alignment vertical="top"/>
    </xf>
    <xf numFmtId="1" fontId="5" fillId="0" borderId="79" xfId="7" applyNumberFormat="1" applyFont="1" applyFill="1" applyBorder="1" applyAlignment="1">
      <alignment vertical="center"/>
    </xf>
    <xf numFmtId="1" fontId="5" fillId="0" borderId="92" xfId="7" applyNumberFormat="1" applyFont="1" applyFill="1" applyBorder="1" applyAlignment="1">
      <alignment vertical="center"/>
    </xf>
    <xf numFmtId="1" fontId="5" fillId="0" borderId="71" xfId="7" applyNumberFormat="1" applyFont="1" applyFill="1" applyBorder="1" applyAlignment="1">
      <alignment vertical="center"/>
    </xf>
    <xf numFmtId="1" fontId="5" fillId="0" borderId="22" xfId="7" applyNumberFormat="1" applyFont="1" applyFill="1" applyBorder="1" applyAlignment="1">
      <alignment vertical="center"/>
    </xf>
    <xf numFmtId="1" fontId="5" fillId="0" borderId="80" xfId="7" applyNumberFormat="1" applyFont="1" applyFill="1" applyBorder="1" applyAlignment="1">
      <alignment horizontal="right" vertical="center" wrapText="1"/>
    </xf>
    <xf numFmtId="1" fontId="5" fillId="0" borderId="92" xfId="7" applyNumberFormat="1" applyFont="1" applyFill="1" applyBorder="1" applyAlignment="1">
      <alignment horizontal="right" vertical="center" wrapText="1"/>
    </xf>
    <xf numFmtId="0" fontId="0" fillId="0" borderId="78" xfId="0" applyFill="1" applyBorder="1" applyAlignment="1">
      <alignment horizontal="left" vertical="center" wrapText="1"/>
    </xf>
    <xf numFmtId="0" fontId="0" fillId="0" borderId="90" xfId="0" applyBorder="1" applyAlignment="1"/>
    <xf numFmtId="49" fontId="5" fillId="0" borderId="74" xfId="7" applyNumberFormat="1" applyFont="1" applyFill="1" applyBorder="1" applyAlignment="1">
      <alignment horizontal="center" vertical="center" textRotation="90" wrapText="1"/>
    </xf>
    <xf numFmtId="49" fontId="5" fillId="0" borderId="75" xfId="7" applyNumberFormat="1" applyFont="1" applyFill="1" applyBorder="1" applyAlignment="1">
      <alignment horizontal="center" vertical="center" textRotation="90" wrapText="1"/>
    </xf>
    <xf numFmtId="0" fontId="0" fillId="0" borderId="75" xfId="0" applyBorder="1" applyAlignment="1">
      <alignment horizontal="center" vertical="center" textRotation="90" wrapText="1"/>
    </xf>
    <xf numFmtId="0" fontId="0" fillId="0" borderId="76" xfId="0" applyBorder="1" applyAlignment="1">
      <alignment horizontal="center" vertical="center" textRotation="90" wrapText="1"/>
    </xf>
    <xf numFmtId="0" fontId="13" fillId="0" borderId="90" xfId="3" applyFont="1" applyFill="1" applyBorder="1" applyAlignment="1">
      <alignment horizontal="right" vertical="top"/>
    </xf>
    <xf numFmtId="0" fontId="13" fillId="0" borderId="41" xfId="3" applyFont="1" applyFill="1" applyBorder="1" applyAlignment="1">
      <alignment horizontal="right"/>
    </xf>
    <xf numFmtId="0" fontId="10" fillId="0" borderId="36" xfId="0" applyFont="1" applyBorder="1" applyAlignment="1"/>
    <xf numFmtId="0" fontId="10" fillId="0" borderId="90" xfId="0" applyFont="1" applyBorder="1" applyAlignment="1"/>
    <xf numFmtId="49" fontId="5" fillId="0" borderId="12" xfId="7" applyNumberFormat="1" applyFont="1" applyFill="1" applyBorder="1" applyAlignment="1">
      <alignment horizontal="center" vertical="center"/>
    </xf>
    <xf numFmtId="0" fontId="0" fillId="0" borderId="61" xfId="0" applyFill="1" applyBorder="1" applyAlignment="1">
      <alignment horizontal="center" vertical="center"/>
    </xf>
    <xf numFmtId="49" fontId="5" fillId="0" borderId="26" xfId="7" applyNumberFormat="1" applyFont="1" applyFill="1" applyBorder="1" applyAlignment="1">
      <alignment horizontal="left" vertical="center"/>
    </xf>
    <xf numFmtId="0" fontId="0" fillId="0" borderId="16" xfId="0" applyFill="1" applyBorder="1" applyAlignment="1">
      <alignment vertical="center"/>
    </xf>
    <xf numFmtId="0" fontId="0" fillId="0" borderId="28" xfId="0" applyFill="1" applyBorder="1" applyAlignment="1">
      <alignment vertical="center"/>
    </xf>
    <xf numFmtId="0" fontId="0" fillId="0" borderId="12" xfId="0" applyFill="1" applyBorder="1" applyAlignment="1">
      <alignment vertical="center"/>
    </xf>
    <xf numFmtId="0" fontId="15" fillId="0" borderId="58" xfId="7" applyNumberFormat="1" applyFont="1" applyFill="1" applyBorder="1" applyAlignment="1">
      <alignment horizontal="right" vertical="center"/>
    </xf>
    <xf numFmtId="0" fontId="18" fillId="0" borderId="74" xfId="3" applyFont="1" applyFill="1" applyBorder="1" applyAlignment="1">
      <alignment horizontal="center" vertical="center" textRotation="90" wrapText="1" shrinkToFit="1"/>
    </xf>
    <xf numFmtId="0" fontId="18" fillId="0" borderId="75" xfId="3" applyFont="1" applyFill="1" applyBorder="1" applyAlignment="1">
      <alignment horizontal="center" vertical="center" textRotation="90" wrapText="1" shrinkToFit="1"/>
    </xf>
    <xf numFmtId="0" fontId="3" fillId="0" borderId="63" xfId="3" applyFont="1" applyFill="1" applyBorder="1" applyAlignment="1">
      <alignment horizontal="center" vertical="center"/>
    </xf>
    <xf numFmtId="0" fontId="3" fillId="0" borderId="64" xfId="3" applyFont="1" applyFill="1" applyBorder="1" applyAlignment="1">
      <alignment horizontal="center" vertical="center"/>
    </xf>
    <xf numFmtId="0" fontId="3" fillId="0" borderId="65" xfId="3" applyFont="1" applyFill="1" applyBorder="1" applyAlignment="1">
      <alignment horizontal="center" vertical="center"/>
    </xf>
    <xf numFmtId="0" fontId="18" fillId="0" borderId="66" xfId="3" applyFont="1" applyFill="1" applyBorder="1" applyAlignment="1">
      <alignment horizontal="center" vertical="center" wrapText="1"/>
    </xf>
    <xf numFmtId="0" fontId="18" fillId="0" borderId="70" xfId="3" applyFont="1" applyFill="1" applyBorder="1" applyAlignment="1">
      <alignment horizontal="center" vertical="center" wrapText="1"/>
    </xf>
    <xf numFmtId="0" fontId="18" fillId="0" borderId="4" xfId="3" applyFont="1" applyFill="1" applyBorder="1" applyAlignment="1">
      <alignment horizontal="center" vertical="center"/>
    </xf>
    <xf numFmtId="0" fontId="18" fillId="0" borderId="6" xfId="3" applyFont="1" applyFill="1" applyBorder="1" applyAlignment="1">
      <alignment horizontal="center" vertical="center"/>
    </xf>
    <xf numFmtId="0" fontId="18" fillId="0" borderId="68" xfId="3" applyFont="1" applyFill="1" applyBorder="1" applyAlignment="1">
      <alignment horizontal="center" vertical="center"/>
    </xf>
    <xf numFmtId="0" fontId="10" fillId="0" borderId="45" xfId="0" applyFont="1" applyFill="1" applyBorder="1" applyAlignment="1">
      <alignment vertical="top"/>
    </xf>
    <xf numFmtId="49" fontId="4" fillId="0" borderId="41" xfId="7" applyNumberFormat="1" applyFont="1" applyFill="1" applyBorder="1" applyAlignment="1">
      <alignment horizontal="left" vertical="top" wrapText="1"/>
    </xf>
    <xf numFmtId="0" fontId="10" fillId="0" borderId="36" xfId="0" applyFont="1" applyFill="1" applyBorder="1" applyAlignment="1">
      <alignment horizontal="left" vertical="top" wrapText="1"/>
    </xf>
    <xf numFmtId="0" fontId="10" fillId="0" borderId="86" xfId="0" applyFont="1" applyFill="1" applyBorder="1" applyAlignment="1">
      <alignment horizontal="left" vertical="top" wrapText="1"/>
    </xf>
    <xf numFmtId="0" fontId="18" fillId="0" borderId="71" xfId="3" applyFont="1" applyFill="1" applyBorder="1" applyAlignment="1">
      <alignment horizontal="center" vertical="center" textRotation="90" wrapText="1" shrinkToFit="1"/>
    </xf>
    <xf numFmtId="0" fontId="18" fillId="0" borderId="61" xfId="3" applyFont="1" applyFill="1" applyBorder="1" applyAlignment="1">
      <alignment horizontal="center" vertical="center" textRotation="90" wrapText="1" shrinkToFit="1"/>
    </xf>
    <xf numFmtId="0" fontId="18" fillId="0" borderId="72" xfId="3" applyFont="1" applyFill="1" applyBorder="1" applyAlignment="1">
      <alignment horizontal="center" vertical="center" textRotation="90" wrapText="1" shrinkToFit="1"/>
    </xf>
    <xf numFmtId="0" fontId="18" fillId="0" borderId="29" xfId="3" applyFont="1" applyFill="1" applyBorder="1" applyAlignment="1">
      <alignment horizontal="center" vertical="center" textRotation="90" wrapText="1" shrinkToFit="1"/>
    </xf>
    <xf numFmtId="0" fontId="0" fillId="0" borderId="18" xfId="0" applyFill="1" applyBorder="1" applyAlignment="1">
      <alignment horizontal="center" vertical="center" textRotation="90" wrapText="1"/>
    </xf>
    <xf numFmtId="0" fontId="0" fillId="0" borderId="15" xfId="0" applyFill="1" applyBorder="1" applyAlignment="1"/>
    <xf numFmtId="0" fontId="0" fillId="0" borderId="74" xfId="0" applyFill="1" applyBorder="1" applyAlignment="1"/>
    <xf numFmtId="0" fontId="18" fillId="0" borderId="15" xfId="3" applyFont="1" applyFill="1" applyBorder="1" applyAlignment="1">
      <alignment horizontal="center" vertical="center" textRotation="90" wrapText="1" shrinkToFit="1"/>
    </xf>
    <xf numFmtId="0" fontId="18" fillId="0" borderId="0" xfId="3" applyFont="1" applyFill="1" applyBorder="1" applyAlignment="1">
      <alignment horizontal="center" vertical="center" textRotation="90" wrapText="1" shrinkToFit="1"/>
    </xf>
    <xf numFmtId="0" fontId="18" fillId="0" borderId="69" xfId="3" applyFont="1" applyFill="1" applyBorder="1" applyAlignment="1">
      <alignment horizontal="center" vertical="center" textRotation="90" wrapText="1" shrinkToFit="1"/>
    </xf>
    <xf numFmtId="0" fontId="18" fillId="0" borderId="70" xfId="3" applyFont="1" applyFill="1" applyBorder="1" applyAlignment="1">
      <alignment horizontal="center" vertical="center" textRotation="90" wrapText="1" shrinkToFit="1"/>
    </xf>
    <xf numFmtId="0" fontId="18" fillId="0" borderId="67" xfId="3" applyFont="1" applyFill="1" applyBorder="1" applyAlignment="1">
      <alignment horizontal="center" vertical="center" textRotation="90" wrapText="1" shrinkToFit="1"/>
    </xf>
    <xf numFmtId="0" fontId="18" fillId="0" borderId="22" xfId="3" applyFont="1" applyFill="1" applyBorder="1" applyAlignment="1">
      <alignment horizontal="center" vertical="center" textRotation="90" wrapText="1" shrinkToFit="1"/>
    </xf>
    <xf numFmtId="49" fontId="5" fillId="0" borderId="0" xfId="7" applyNumberFormat="1" applyFont="1" applyFill="1" applyBorder="1" applyAlignment="1">
      <alignment horizontal="left" vertical="top" wrapText="1"/>
    </xf>
    <xf numFmtId="49" fontId="5" fillId="0" borderId="29" xfId="7" applyNumberFormat="1" applyFont="1" applyFill="1" applyBorder="1" applyAlignment="1">
      <alignment horizontal="left" vertical="top" wrapText="1"/>
    </xf>
    <xf numFmtId="0" fontId="0" fillId="0" borderId="0" xfId="0" applyFill="1" applyBorder="1" applyAlignment="1">
      <alignment vertical="top"/>
    </xf>
    <xf numFmtId="0" fontId="0" fillId="0" borderId="29" xfId="0" applyFill="1" applyBorder="1" applyAlignment="1">
      <alignment vertical="top"/>
    </xf>
    <xf numFmtId="49" fontId="5" fillId="0" borderId="36" xfId="7" applyNumberFormat="1" applyFont="1" applyFill="1" applyBorder="1" applyAlignment="1">
      <alignment horizontal="left" vertical="top" wrapText="1"/>
    </xf>
    <xf numFmtId="0" fontId="0" fillId="0" borderId="36" xfId="0" applyFill="1" applyBorder="1" applyAlignment="1">
      <alignment horizontal="left" vertical="top" wrapText="1"/>
    </xf>
    <xf numFmtId="0" fontId="0" fillId="0" borderId="86" xfId="0" applyFill="1" applyBorder="1" applyAlignment="1">
      <alignment horizontal="left" vertical="top" wrapText="1"/>
    </xf>
    <xf numFmtId="0" fontId="18" fillId="0" borderId="0" xfId="3" applyFont="1" applyFill="1" applyAlignment="1">
      <alignment horizontal="center" vertical="top" wrapText="1"/>
    </xf>
    <xf numFmtId="49" fontId="5" fillId="0" borderId="85" xfId="7" applyNumberFormat="1" applyFont="1" applyFill="1" applyBorder="1" applyAlignment="1">
      <alignment horizontal="left" vertical="center" wrapText="1"/>
    </xf>
    <xf numFmtId="49" fontId="5" fillId="0" borderId="24" xfId="7" applyNumberFormat="1" applyFont="1" applyFill="1" applyBorder="1" applyAlignment="1">
      <alignment horizontal="left" vertical="center" wrapText="1"/>
    </xf>
    <xf numFmtId="49" fontId="5" fillId="0" borderId="24" xfId="7" applyNumberFormat="1" applyFont="1" applyFill="1" applyBorder="1" applyAlignment="1">
      <alignment horizontal="left" vertical="center"/>
    </xf>
    <xf numFmtId="49" fontId="5" fillId="0" borderId="71" xfId="7" applyNumberFormat="1" applyFont="1" applyFill="1" applyBorder="1" applyAlignment="1">
      <alignment horizontal="left" vertical="center"/>
    </xf>
    <xf numFmtId="49" fontId="5" fillId="0" borderId="61" xfId="7" applyNumberFormat="1" applyFont="1" applyFill="1" applyBorder="1" applyAlignment="1">
      <alignment horizontal="left" vertical="center"/>
    </xf>
    <xf numFmtId="1" fontId="5" fillId="0" borderId="71" xfId="7" applyNumberFormat="1" applyFont="1" applyFill="1" applyBorder="1" applyAlignment="1">
      <alignment horizontal="center" vertical="center"/>
    </xf>
    <xf numFmtId="1" fontId="5" fillId="0" borderId="61" xfId="7" applyNumberFormat="1" applyFont="1" applyFill="1" applyBorder="1" applyAlignment="1">
      <alignment horizontal="center" vertical="center"/>
    </xf>
    <xf numFmtId="1" fontId="5" fillId="0" borderId="79" xfId="7" applyNumberFormat="1" applyFont="1" applyFill="1" applyBorder="1" applyAlignment="1">
      <alignment horizontal="center" vertical="center"/>
    </xf>
    <xf numFmtId="1" fontId="5" fillId="0" borderId="80" xfId="7" applyNumberFormat="1" applyFont="1" applyFill="1" applyBorder="1" applyAlignment="1">
      <alignment horizontal="center" vertical="center"/>
    </xf>
    <xf numFmtId="49" fontId="5" fillId="0" borderId="71" xfId="0" applyNumberFormat="1" applyFont="1" applyFill="1" applyBorder="1" applyAlignment="1">
      <alignment horizontal="center" vertical="center"/>
    </xf>
    <xf numFmtId="49" fontId="5" fillId="0" borderId="61" xfId="0" applyNumberFormat="1" applyFont="1" applyFill="1" applyBorder="1" applyAlignment="1">
      <alignment horizontal="center" vertical="center"/>
    </xf>
    <xf numFmtId="49" fontId="5" fillId="0" borderId="13" xfId="0" applyNumberFormat="1" applyFont="1" applyFill="1" applyBorder="1" applyAlignment="1">
      <alignment horizontal="center" vertical="center"/>
    </xf>
    <xf numFmtId="49" fontId="5" fillId="0" borderId="22" xfId="0" applyNumberFormat="1" applyFont="1" applyFill="1" applyBorder="1" applyAlignment="1">
      <alignment horizontal="center" vertical="center"/>
    </xf>
    <xf numFmtId="49" fontId="5" fillId="0" borderId="19" xfId="7" applyNumberFormat="1" applyFont="1" applyFill="1" applyBorder="1" applyAlignment="1">
      <alignment horizontal="center" vertical="center" textRotation="90" wrapText="1"/>
    </xf>
    <xf numFmtId="0" fontId="0" fillId="0" borderId="15" xfId="0" applyBorder="1" applyAlignment="1">
      <alignment horizontal="right"/>
    </xf>
    <xf numFmtId="0" fontId="0" fillId="0" borderId="13" xfId="0" applyFill="1" applyBorder="1" applyAlignment="1">
      <alignment horizontal="center" vertical="center"/>
    </xf>
    <xf numFmtId="0" fontId="18" fillId="0" borderId="4" xfId="3" applyFont="1" applyBorder="1" applyAlignment="1">
      <alignment horizontal="center" vertical="center"/>
    </xf>
    <xf numFmtId="0" fontId="18" fillId="0" borderId="6" xfId="3" applyFont="1" applyBorder="1" applyAlignment="1">
      <alignment horizontal="center" vertical="center"/>
    </xf>
    <xf numFmtId="0" fontId="18" fillId="0" borderId="68" xfId="3" applyFont="1" applyBorder="1" applyAlignment="1">
      <alignment horizontal="center" vertical="center"/>
    </xf>
    <xf numFmtId="49" fontId="5" fillId="0" borderId="71" xfId="7" applyNumberFormat="1" applyFont="1" applyFill="1" applyBorder="1" applyAlignment="1">
      <alignment horizontal="left" vertical="center" wrapText="1"/>
    </xf>
    <xf numFmtId="49" fontId="5" fillId="0" borderId="61" xfId="7" applyNumberFormat="1" applyFont="1" applyFill="1" applyBorder="1" applyAlignment="1">
      <alignment horizontal="left" vertical="center" wrapText="1"/>
    </xf>
    <xf numFmtId="0" fontId="5" fillId="0" borderId="71" xfId="7" applyNumberFormat="1" applyFont="1" applyFill="1" applyBorder="1" applyAlignment="1">
      <alignment horizontal="right" vertical="center"/>
    </xf>
    <xf numFmtId="0" fontId="0" fillId="0" borderId="36" xfId="0" applyFill="1" applyBorder="1" applyAlignment="1">
      <alignment vertical="center"/>
    </xf>
    <xf numFmtId="0" fontId="0" fillId="0" borderId="86" xfId="0" applyFill="1" applyBorder="1" applyAlignment="1">
      <alignment vertical="center"/>
    </xf>
    <xf numFmtId="0" fontId="0" fillId="0" borderId="13" xfId="0" applyBorder="1" applyAlignment="1">
      <alignment horizontal="left" vertical="center" wrapText="1"/>
    </xf>
    <xf numFmtId="0" fontId="0" fillId="0" borderId="13" xfId="0" applyBorder="1" applyAlignment="1">
      <alignment horizontal="center" vertical="center"/>
    </xf>
    <xf numFmtId="0" fontId="0" fillId="0" borderId="74" xfId="0" applyBorder="1" applyAlignment="1">
      <alignment vertical="top"/>
    </xf>
    <xf numFmtId="0" fontId="0" fillId="0" borderId="61" xfId="0" applyFill="1" applyBorder="1" applyAlignment="1">
      <alignment horizontal="left" vertical="center"/>
    </xf>
    <xf numFmtId="0" fontId="18" fillId="0" borderId="0" xfId="3" applyFont="1" applyAlignment="1">
      <alignment horizontal="center" vertical="top" wrapText="1"/>
    </xf>
    <xf numFmtId="49" fontId="5" fillId="0" borderId="18" xfId="7" applyNumberFormat="1" applyFont="1" applyFill="1" applyBorder="1" applyAlignment="1">
      <alignment horizontal="center" vertical="top" textRotation="90" wrapText="1"/>
    </xf>
    <xf numFmtId="1" fontId="5" fillId="4" borderId="59" xfId="7" applyNumberFormat="1" applyFont="1" applyFill="1" applyBorder="1" applyAlignment="1">
      <alignment vertical="center"/>
    </xf>
    <xf numFmtId="0" fontId="0" fillId="0" borderId="23" xfId="0" applyBorder="1" applyAlignment="1">
      <alignment vertical="center"/>
    </xf>
    <xf numFmtId="1" fontId="5" fillId="0" borderId="61" xfId="7" applyNumberFormat="1" applyFont="1" applyFill="1" applyBorder="1" applyAlignment="1">
      <alignment vertical="center" wrapText="1"/>
    </xf>
    <xf numFmtId="0" fontId="0" fillId="0" borderId="13" xfId="0" applyBorder="1" applyAlignment="1">
      <alignment vertical="center" wrapText="1"/>
    </xf>
    <xf numFmtId="1" fontId="5" fillId="0" borderId="61" xfId="7" applyNumberFormat="1" applyFont="1" applyFill="1" applyBorder="1" applyAlignment="1">
      <alignment vertical="center"/>
    </xf>
    <xf numFmtId="1" fontId="5" fillId="0" borderId="80" xfId="7" applyNumberFormat="1" applyFont="1" applyFill="1" applyBorder="1" applyAlignment="1">
      <alignment vertical="center"/>
    </xf>
    <xf numFmtId="0" fontId="0" fillId="0" borderId="56" xfId="0" applyBorder="1" applyAlignment="1">
      <alignment vertical="center"/>
    </xf>
    <xf numFmtId="165" fontId="5" fillId="0" borderId="58" xfId="7" applyNumberFormat="1" applyFont="1" applyFill="1" applyBorder="1" applyAlignment="1">
      <alignment vertical="center" wrapText="1"/>
    </xf>
    <xf numFmtId="0" fontId="0" fillId="0" borderId="2" xfId="0" applyBorder="1" applyAlignment="1">
      <alignment vertical="center" wrapText="1"/>
    </xf>
    <xf numFmtId="9" fontId="5" fillId="4" borderId="58" xfId="10" applyFont="1" applyFill="1" applyBorder="1" applyAlignment="1">
      <alignment vertical="center"/>
    </xf>
    <xf numFmtId="1" fontId="5" fillId="4" borderId="58" xfId="7" applyNumberFormat="1" applyFont="1" applyFill="1" applyBorder="1" applyAlignment="1">
      <alignment vertical="center"/>
    </xf>
    <xf numFmtId="1" fontId="5" fillId="4" borderId="71" xfId="7" applyNumberFormat="1" applyFont="1" applyFill="1" applyBorder="1" applyAlignment="1">
      <alignment horizontal="center" vertical="center"/>
    </xf>
    <xf numFmtId="1" fontId="5" fillId="4" borderId="79" xfId="7" applyNumberFormat="1" applyFont="1" applyFill="1" applyBorder="1" applyAlignment="1">
      <alignment horizontal="center" vertical="center"/>
    </xf>
    <xf numFmtId="0" fontId="0" fillId="0" borderId="92" xfId="0" applyBorder="1" applyAlignment="1">
      <alignment horizontal="center" vertical="center"/>
    </xf>
    <xf numFmtId="0" fontId="0" fillId="0" borderId="58" xfId="0" applyBorder="1" applyAlignment="1">
      <alignment vertical="center"/>
    </xf>
    <xf numFmtId="0" fontId="0" fillId="0" borderId="85" xfId="0" applyBorder="1" applyAlignment="1">
      <alignment vertical="center"/>
    </xf>
    <xf numFmtId="165" fontId="0" fillId="0" borderId="24" xfId="0" applyNumberFormat="1" applyBorder="1" applyAlignment="1">
      <alignment horizontal="right" vertical="center"/>
    </xf>
    <xf numFmtId="0" fontId="5" fillId="0" borderId="58" xfId="0" applyFont="1" applyFill="1" applyBorder="1" applyAlignment="1">
      <alignment horizontal="left" vertical="center" wrapText="1"/>
    </xf>
    <xf numFmtId="0" fontId="5" fillId="0" borderId="85" xfId="0" applyFont="1" applyFill="1" applyBorder="1" applyAlignment="1">
      <alignment horizontal="left" vertical="center" wrapText="1"/>
    </xf>
    <xf numFmtId="0" fontId="5" fillId="0" borderId="24" xfId="0" applyFont="1" applyFill="1" applyBorder="1" applyAlignment="1">
      <alignment horizontal="left" vertical="center" wrapText="1"/>
    </xf>
    <xf numFmtId="0" fontId="5" fillId="0" borderId="22" xfId="0" applyFont="1" applyFill="1" applyBorder="1" applyAlignment="1">
      <alignment horizontal="left" vertical="center"/>
    </xf>
    <xf numFmtId="49" fontId="5" fillId="0" borderId="15" xfId="7" applyNumberFormat="1" applyFont="1" applyFill="1" applyBorder="1" applyAlignment="1">
      <alignment horizontal="center" vertical="center" textRotation="90" wrapText="1"/>
    </xf>
    <xf numFmtId="0" fontId="0" fillId="0" borderId="0" xfId="0" applyBorder="1" applyAlignment="1">
      <alignment horizontal="center" vertical="center" textRotation="90" wrapText="1"/>
    </xf>
    <xf numFmtId="0" fontId="5" fillId="0" borderId="58" xfId="7" applyNumberFormat="1" applyFont="1" applyFill="1" applyBorder="1" applyAlignment="1">
      <alignment horizontal="right" vertical="center"/>
    </xf>
    <xf numFmtId="0" fontId="0" fillId="0" borderId="22" xfId="0" applyBorder="1" applyAlignment="1">
      <alignment vertical="center" wrapText="1"/>
    </xf>
    <xf numFmtId="0" fontId="10" fillId="0" borderId="76" xfId="0" applyFont="1" applyBorder="1" applyAlignment="1">
      <alignment vertical="top"/>
    </xf>
    <xf numFmtId="49" fontId="5" fillId="0" borderId="91" xfId="7" applyNumberFormat="1" applyFont="1" applyFill="1" applyBorder="1" applyAlignment="1">
      <alignment vertical="center" wrapText="1"/>
    </xf>
    <xf numFmtId="0" fontId="0" fillId="0" borderId="53" xfId="0" applyFill="1" applyBorder="1" applyAlignment="1">
      <alignment vertical="center" wrapText="1"/>
    </xf>
    <xf numFmtId="0" fontId="10" fillId="0" borderId="76" xfId="0" applyFont="1" applyFill="1" applyBorder="1" applyAlignment="1">
      <alignment vertical="top"/>
    </xf>
    <xf numFmtId="0" fontId="6" fillId="0" borderId="53" xfId="0" applyFont="1" applyFill="1" applyBorder="1" applyAlignment="1">
      <alignment vertical="center" wrapText="1"/>
    </xf>
    <xf numFmtId="49" fontId="5" fillId="0" borderId="29" xfId="7" applyNumberFormat="1" applyFont="1" applyFill="1" applyBorder="1" applyAlignment="1">
      <alignment vertical="center" wrapText="1"/>
    </xf>
    <xf numFmtId="0" fontId="5" fillId="0" borderId="77" xfId="0" applyFont="1" applyBorder="1" applyAlignment="1">
      <alignment horizontal="center" vertical="center" textRotation="90" wrapText="1"/>
    </xf>
    <xf numFmtId="0" fontId="0" fillId="0" borderId="61" xfId="0" applyFill="1" applyBorder="1" applyAlignment="1">
      <alignment vertical="center"/>
    </xf>
    <xf numFmtId="165" fontId="5" fillId="0" borderId="61" xfId="7" applyNumberFormat="1" applyFont="1" applyFill="1" applyBorder="1" applyAlignment="1">
      <alignment vertical="center"/>
    </xf>
    <xf numFmtId="165" fontId="0" fillId="0" borderId="13" xfId="0" applyNumberFormat="1" applyFill="1" applyBorder="1" applyAlignment="1">
      <alignment vertical="center"/>
    </xf>
    <xf numFmtId="165" fontId="0" fillId="0" borderId="13" xfId="0" applyNumberFormat="1" applyBorder="1" applyAlignment="1">
      <alignment vertical="center"/>
    </xf>
    <xf numFmtId="0" fontId="18" fillId="0" borderId="62" xfId="3" applyFont="1" applyFill="1" applyBorder="1" applyAlignment="1">
      <alignment horizontal="center" vertical="center" textRotation="90" wrapText="1" shrinkToFit="1"/>
    </xf>
    <xf numFmtId="0" fontId="18" fillId="0" borderId="1" xfId="3" applyFont="1" applyFill="1" applyBorder="1" applyAlignment="1">
      <alignment horizontal="center" vertical="center" textRotation="90" wrapText="1" shrinkToFit="1"/>
    </xf>
    <xf numFmtId="0" fontId="10" fillId="0" borderId="15" xfId="0" applyFont="1" applyBorder="1" applyAlignment="1">
      <alignment horizontal="right" vertical="top"/>
    </xf>
    <xf numFmtId="0" fontId="10" fillId="0" borderId="74" xfId="0" applyFont="1" applyBorder="1" applyAlignment="1">
      <alignment horizontal="right" vertical="top"/>
    </xf>
    <xf numFmtId="0" fontId="0" fillId="0" borderId="0" xfId="0" applyFill="1" applyAlignment="1">
      <alignment horizontal="left" vertical="center" wrapText="1"/>
    </xf>
    <xf numFmtId="0" fontId="2" fillId="0" borderId="0" xfId="8" applyFont="1" applyFill="1" applyAlignment="1">
      <alignment horizontal="left" vertical="top" wrapText="1"/>
    </xf>
    <xf numFmtId="165" fontId="0" fillId="0" borderId="61" xfId="0" applyNumberFormat="1" applyFill="1" applyBorder="1" applyAlignment="1">
      <alignment vertical="center"/>
    </xf>
    <xf numFmtId="165" fontId="0" fillId="0" borderId="22" xfId="0" applyNumberFormat="1" applyFill="1" applyBorder="1" applyAlignment="1">
      <alignment vertical="center"/>
    </xf>
    <xf numFmtId="0" fontId="18" fillId="0" borderId="67" xfId="3" applyFont="1" applyFill="1" applyBorder="1" applyAlignment="1">
      <alignment horizontal="center" vertical="center" wrapText="1"/>
    </xf>
    <xf numFmtId="165" fontId="0" fillId="0" borderId="61" xfId="0" applyNumberFormat="1" applyBorder="1" applyAlignment="1">
      <alignment vertical="center"/>
    </xf>
    <xf numFmtId="165" fontId="0" fillId="0" borderId="22" xfId="0" applyNumberFormat="1" applyBorder="1" applyAlignment="1">
      <alignment vertical="center"/>
    </xf>
    <xf numFmtId="49" fontId="5" fillId="0" borderId="22" xfId="7" applyNumberFormat="1" applyFont="1" applyFill="1" applyBorder="1" applyAlignment="1">
      <alignment horizontal="center" vertical="center"/>
    </xf>
    <xf numFmtId="165" fontId="5" fillId="0" borderId="22" xfId="7" applyNumberFormat="1" applyFont="1" applyFill="1" applyBorder="1" applyAlignment="1">
      <alignment horizontal="right" vertical="center"/>
    </xf>
    <xf numFmtId="165" fontId="5" fillId="0" borderId="71" xfId="0" applyNumberFormat="1" applyFont="1" applyFill="1" applyBorder="1" applyAlignment="1">
      <alignment horizontal="right" vertical="center"/>
    </xf>
    <xf numFmtId="165" fontId="5" fillId="0" borderId="22" xfId="0" applyNumberFormat="1" applyFont="1" applyFill="1" applyBorder="1" applyAlignment="1">
      <alignment horizontal="right" vertical="center"/>
    </xf>
    <xf numFmtId="0" fontId="0" fillId="0" borderId="19" xfId="0" applyFill="1" applyBorder="1" applyAlignment="1">
      <alignment horizontal="center" vertical="center" textRotation="90" wrapText="1"/>
    </xf>
    <xf numFmtId="0" fontId="0" fillId="0" borderId="74" xfId="0" applyBorder="1" applyAlignment="1">
      <alignment horizontal="right"/>
    </xf>
    <xf numFmtId="0" fontId="0" fillId="0" borderId="36" xfId="0" applyFill="1" applyBorder="1" applyAlignment="1"/>
    <xf numFmtId="0" fontId="0" fillId="0" borderId="90" xfId="0" applyFill="1" applyBorder="1" applyAlignment="1"/>
    <xf numFmtId="49" fontId="5" fillId="0" borderId="12" xfId="7" applyNumberFormat="1" applyFont="1" applyFill="1" applyBorder="1" applyAlignment="1">
      <alignment horizontal="left" vertical="center"/>
    </xf>
    <xf numFmtId="3" fontId="5" fillId="0" borderId="12" xfId="1" applyNumberFormat="1" applyFont="1" applyFill="1" applyBorder="1" applyAlignment="1">
      <alignment horizontal="center" vertical="center"/>
    </xf>
    <xf numFmtId="0" fontId="6" fillId="0" borderId="22" xfId="0" applyFont="1" applyBorder="1" applyAlignment="1">
      <alignment vertical="center"/>
    </xf>
    <xf numFmtId="3" fontId="5" fillId="0" borderId="57" xfId="1" applyNumberFormat="1" applyFont="1" applyFill="1" applyBorder="1" applyAlignment="1">
      <alignment horizontal="center" vertical="center"/>
    </xf>
    <xf numFmtId="0" fontId="6" fillId="0" borderId="92" xfId="0" applyFont="1" applyBorder="1" applyAlignment="1">
      <alignment vertical="center"/>
    </xf>
    <xf numFmtId="0" fontId="30" fillId="0" borderId="36" xfId="0" applyFont="1" applyFill="1" applyBorder="1" applyAlignment="1">
      <alignment vertical="top"/>
    </xf>
    <xf numFmtId="0" fontId="30" fillId="0" borderId="90" xfId="0" applyFont="1" applyFill="1" applyBorder="1" applyAlignment="1">
      <alignment vertical="top"/>
    </xf>
    <xf numFmtId="0" fontId="2" fillId="0" borderId="61" xfId="0" applyFont="1" applyFill="1" applyBorder="1" applyAlignment="1">
      <alignment vertical="center"/>
    </xf>
    <xf numFmtId="0" fontId="2" fillId="0" borderId="2" xfId="0" applyFont="1" applyFill="1" applyBorder="1" applyAlignment="1">
      <alignment horizontal="center" vertical="center"/>
    </xf>
    <xf numFmtId="165" fontId="2" fillId="0" borderId="2" xfId="0" applyNumberFormat="1" applyFont="1" applyBorder="1" applyAlignment="1">
      <alignment horizontal="right" vertical="center"/>
    </xf>
    <xf numFmtId="165" fontId="2" fillId="0" borderId="2" xfId="0" applyNumberFormat="1" applyFont="1" applyBorder="1" applyAlignment="1">
      <alignment vertical="center"/>
    </xf>
    <xf numFmtId="0" fontId="6" fillId="0" borderId="15" xfId="0" applyFont="1" applyFill="1" applyBorder="1" applyAlignment="1">
      <alignment horizontal="left" vertical="center" wrapText="1"/>
    </xf>
    <xf numFmtId="0" fontId="6" fillId="0" borderId="72" xfId="0" applyFont="1" applyFill="1" applyBorder="1" applyAlignment="1">
      <alignment horizontal="left" vertical="center" wrapText="1"/>
    </xf>
    <xf numFmtId="49" fontId="4" fillId="0" borderId="41" xfId="7" applyNumberFormat="1" applyFont="1" applyFill="1" applyBorder="1" applyAlignment="1">
      <alignment horizontal="right" vertical="top" wrapText="1"/>
    </xf>
    <xf numFmtId="0" fontId="28" fillId="0" borderId="36" xfId="0" applyFont="1" applyBorder="1" applyAlignment="1">
      <alignment horizontal="right" vertical="top"/>
    </xf>
    <xf numFmtId="0" fontId="28" fillId="0" borderId="90" xfId="0" applyFont="1" applyBorder="1" applyAlignment="1">
      <alignment horizontal="right" vertical="top"/>
    </xf>
    <xf numFmtId="0" fontId="28" fillId="0" borderId="15" xfId="0" applyFont="1" applyBorder="1" applyAlignment="1">
      <alignment horizontal="right" vertical="top"/>
    </xf>
    <xf numFmtId="0" fontId="28" fillId="0" borderId="74" xfId="0" applyFont="1" applyBorder="1" applyAlignment="1">
      <alignment horizontal="right" vertical="top"/>
    </xf>
    <xf numFmtId="0" fontId="5" fillId="0" borderId="71" xfId="0" applyFont="1" applyFill="1" applyBorder="1" applyAlignment="1">
      <alignment vertical="center"/>
    </xf>
    <xf numFmtId="0" fontId="6" fillId="0" borderId="13" xfId="0" applyFont="1" applyFill="1" applyBorder="1" applyAlignment="1">
      <alignment vertical="center"/>
    </xf>
    <xf numFmtId="0" fontId="6" fillId="0" borderId="36" xfId="0" applyFont="1" applyBorder="1" applyAlignment="1">
      <alignment horizontal="right" vertical="top"/>
    </xf>
    <xf numFmtId="0" fontId="6" fillId="0" borderId="90" xfId="0" applyFont="1" applyBorder="1" applyAlignment="1">
      <alignment horizontal="right" vertical="top"/>
    </xf>
    <xf numFmtId="49" fontId="5" fillId="0" borderId="83" xfId="7" applyNumberFormat="1" applyFont="1" applyFill="1" applyBorder="1" applyAlignment="1">
      <alignment vertical="top" textRotation="90"/>
    </xf>
    <xf numFmtId="0" fontId="6" fillId="0" borderId="18" xfId="0" applyFont="1" applyBorder="1" applyAlignment="1">
      <alignment vertical="top" textRotation="90"/>
    </xf>
    <xf numFmtId="0" fontId="6" fillId="0" borderId="78" xfId="0" applyFont="1" applyBorder="1" applyAlignment="1">
      <alignment vertical="top" textRotation="90"/>
    </xf>
    <xf numFmtId="0" fontId="6" fillId="0" borderId="19" xfId="0" applyFont="1" applyBorder="1" applyAlignment="1">
      <alignment vertical="top" textRotation="90"/>
    </xf>
    <xf numFmtId="0" fontId="5" fillId="0" borderId="18" xfId="0" applyFont="1" applyFill="1" applyBorder="1" applyAlignment="1">
      <alignment vertical="center" textRotation="90" wrapText="1"/>
    </xf>
    <xf numFmtId="0" fontId="4" fillId="0" borderId="36" xfId="3" applyFont="1" applyFill="1" applyBorder="1" applyAlignment="1">
      <alignment horizontal="right" vertical="top"/>
    </xf>
    <xf numFmtId="0" fontId="4" fillId="0" borderId="41" xfId="3" applyFont="1" applyFill="1" applyBorder="1" applyAlignment="1">
      <alignment horizontal="right" vertical="top"/>
    </xf>
    <xf numFmtId="0" fontId="6" fillId="0" borderId="15" xfId="0" applyFont="1" applyFill="1" applyBorder="1" applyAlignment="1">
      <alignment horizontal="right"/>
    </xf>
    <xf numFmtId="0" fontId="6" fillId="0" borderId="74" xfId="0" applyFont="1" applyFill="1" applyBorder="1" applyAlignment="1">
      <alignment horizontal="right"/>
    </xf>
    <xf numFmtId="49" fontId="5" fillId="0" borderId="15" xfId="7" applyNumberFormat="1" applyFont="1" applyFill="1" applyBorder="1" applyAlignment="1">
      <alignment vertical="center" wrapText="1"/>
    </xf>
    <xf numFmtId="0" fontId="6" fillId="0" borderId="15" xfId="0" applyFont="1" applyFill="1" applyBorder="1" applyAlignment="1">
      <alignment vertical="center" wrapText="1"/>
    </xf>
    <xf numFmtId="0" fontId="6" fillId="0" borderId="72" xfId="0" applyFont="1" applyFill="1" applyBorder="1" applyAlignment="1">
      <alignment vertical="center" wrapText="1"/>
    </xf>
    <xf numFmtId="0" fontId="6" fillId="0" borderId="15" xfId="0" applyFont="1" applyFill="1" applyBorder="1" applyAlignment="1">
      <alignment horizontal="right" vertical="top"/>
    </xf>
    <xf numFmtId="0" fontId="6" fillId="0" borderId="74" xfId="0" applyFont="1" applyFill="1" applyBorder="1" applyAlignment="1">
      <alignment horizontal="right" vertical="top"/>
    </xf>
    <xf numFmtId="0" fontId="6" fillId="0" borderId="36" xfId="0" applyFont="1" applyBorder="1" applyAlignment="1"/>
    <xf numFmtId="0" fontId="6" fillId="0" borderId="90" xfId="0" applyFont="1" applyBorder="1" applyAlignment="1"/>
    <xf numFmtId="0" fontId="6" fillId="0" borderId="36" xfId="0" applyFont="1" applyBorder="1" applyAlignment="1">
      <alignment vertical="top"/>
    </xf>
    <xf numFmtId="0" fontId="6" fillId="0" borderId="90" xfId="0" applyFont="1" applyBorder="1" applyAlignment="1">
      <alignment vertical="top"/>
    </xf>
    <xf numFmtId="0" fontId="5" fillId="0" borderId="58" xfId="0" applyNumberFormat="1" applyFont="1" applyFill="1" applyBorder="1" applyAlignment="1">
      <alignment vertical="center"/>
    </xf>
    <xf numFmtId="49" fontId="5" fillId="0" borderId="26" xfId="7" applyNumberFormat="1" applyFont="1" applyFill="1" applyBorder="1" applyAlignment="1">
      <alignment vertical="center" wrapText="1"/>
    </xf>
    <xf numFmtId="49" fontId="5" fillId="0" borderId="13" xfId="7" applyNumberFormat="1" applyFont="1" applyFill="1" applyBorder="1" applyAlignment="1">
      <alignment vertical="center" wrapText="1"/>
    </xf>
    <xf numFmtId="0" fontId="6" fillId="0" borderId="28" xfId="0" applyFont="1" applyFill="1" applyBorder="1" applyAlignment="1">
      <alignment vertical="center" wrapText="1"/>
    </xf>
    <xf numFmtId="0" fontId="6" fillId="0" borderId="12" xfId="0" applyFont="1" applyFill="1" applyBorder="1" applyAlignment="1">
      <alignment vertical="center" wrapText="1"/>
    </xf>
    <xf numFmtId="0" fontId="5" fillId="0" borderId="13" xfId="0" applyNumberFormat="1" applyFont="1" applyFill="1" applyBorder="1" applyAlignment="1">
      <alignment vertical="center"/>
    </xf>
    <xf numFmtId="0" fontId="6" fillId="0" borderId="12" xfId="0" applyFont="1" applyFill="1" applyBorder="1" applyAlignment="1">
      <alignment vertical="center"/>
    </xf>
    <xf numFmtId="0" fontId="5" fillId="0" borderId="79" xfId="1" applyFont="1" applyFill="1" applyBorder="1" applyAlignment="1">
      <alignment vertical="center"/>
    </xf>
    <xf numFmtId="0" fontId="5" fillId="0" borderId="56" xfId="1" applyFont="1" applyFill="1" applyBorder="1" applyAlignment="1">
      <alignment vertical="center"/>
    </xf>
    <xf numFmtId="0" fontId="6" fillId="0" borderId="36" xfId="0" applyFont="1" applyFill="1" applyBorder="1" applyAlignment="1">
      <alignment horizontal="right" vertical="top"/>
    </xf>
    <xf numFmtId="0" fontId="6" fillId="0" borderId="18" xfId="0" applyFont="1" applyBorder="1" applyAlignment="1">
      <alignment horizontal="center" vertical="center" textRotation="90" wrapText="1"/>
    </xf>
    <xf numFmtId="49" fontId="5" fillId="0" borderId="83" xfId="7" applyNumberFormat="1" applyFont="1" applyFill="1" applyBorder="1" applyAlignment="1">
      <alignment vertical="center" textRotation="90" wrapText="1"/>
    </xf>
    <xf numFmtId="0" fontId="6" fillId="0" borderId="19" xfId="0" applyFont="1" applyFill="1" applyBorder="1" applyAlignment="1">
      <alignment vertical="center" textRotation="90" wrapText="1"/>
    </xf>
    <xf numFmtId="165" fontId="5" fillId="0" borderId="13" xfId="7" applyNumberFormat="1" applyFont="1" applyFill="1" applyBorder="1" applyAlignment="1">
      <alignment vertical="center"/>
    </xf>
    <xf numFmtId="0" fontId="6" fillId="0" borderId="2" xfId="0" applyFont="1" applyBorder="1" applyAlignment="1">
      <alignment vertical="center"/>
    </xf>
    <xf numFmtId="0" fontId="6" fillId="0" borderId="12" xfId="0" applyFont="1" applyBorder="1" applyAlignment="1">
      <alignment vertical="center"/>
    </xf>
    <xf numFmtId="49" fontId="5" fillId="0" borderId="18" xfId="7" applyNumberFormat="1" applyFont="1" applyFill="1" applyBorder="1" applyAlignment="1">
      <alignment vertical="center" textRotation="90" wrapText="1"/>
    </xf>
    <xf numFmtId="0" fontId="6" fillId="0" borderId="18" xfId="0" applyFont="1" applyBorder="1" applyAlignment="1">
      <alignment vertical="center" textRotation="90" wrapText="1"/>
    </xf>
    <xf numFmtId="0" fontId="6" fillId="0" borderId="19" xfId="0" applyFont="1" applyBorder="1" applyAlignment="1">
      <alignment vertical="center" textRotation="90" wrapText="1"/>
    </xf>
    <xf numFmtId="0" fontId="5" fillId="0" borderId="12" xfId="0" applyFont="1" applyFill="1" applyBorder="1" applyAlignment="1">
      <alignment vertical="center"/>
    </xf>
    <xf numFmtId="0" fontId="6" fillId="0" borderId="22" xfId="0" applyFont="1" applyFill="1" applyBorder="1" applyAlignment="1">
      <alignment vertical="center"/>
    </xf>
    <xf numFmtId="0" fontId="6" fillId="0" borderId="36" xfId="0" applyFont="1" applyBorder="1" applyAlignment="1">
      <alignment horizontal="right"/>
    </xf>
    <xf numFmtId="0" fontId="6" fillId="0" borderId="18" xfId="0" applyFont="1" applyFill="1" applyBorder="1" applyAlignment="1">
      <alignment horizontal="center" vertical="center" textRotation="90" wrapText="1"/>
    </xf>
    <xf numFmtId="0" fontId="6" fillId="0" borderId="78" xfId="0" applyFont="1" applyFill="1" applyBorder="1" applyAlignment="1">
      <alignment horizontal="center" vertical="center" textRotation="90" wrapText="1"/>
    </xf>
    <xf numFmtId="0" fontId="6" fillId="0" borderId="19" xfId="0" applyFont="1" applyFill="1" applyBorder="1" applyAlignment="1">
      <alignment horizontal="center" vertical="center" textRotation="90" wrapText="1"/>
    </xf>
    <xf numFmtId="0" fontId="6" fillId="0" borderId="58" xfId="0" applyFont="1" applyFill="1" applyBorder="1" applyAlignment="1">
      <alignment horizontal="left" vertical="center" wrapText="1"/>
    </xf>
    <xf numFmtId="49" fontId="5" fillId="0" borderId="71" xfId="7" applyNumberFormat="1" applyFont="1" applyFill="1" applyBorder="1" applyAlignment="1">
      <alignment vertical="center" wrapText="1"/>
    </xf>
    <xf numFmtId="0" fontId="0" fillId="0" borderId="80" xfId="0" applyBorder="1" applyAlignment="1">
      <alignment vertical="center"/>
    </xf>
    <xf numFmtId="49" fontId="5" fillId="0" borderId="12" xfId="7" applyNumberFormat="1" applyFont="1" applyFill="1" applyBorder="1" applyAlignment="1">
      <alignment horizontal="left" vertical="center" wrapText="1"/>
    </xf>
    <xf numFmtId="0" fontId="0" fillId="0" borderId="22" xfId="0" applyBorder="1" applyAlignment="1">
      <alignment horizontal="left" vertical="center" wrapText="1"/>
    </xf>
    <xf numFmtId="1" fontId="5" fillId="0" borderId="12" xfId="10" applyNumberFormat="1" applyFont="1" applyFill="1" applyBorder="1" applyAlignment="1">
      <alignment vertical="center"/>
    </xf>
    <xf numFmtId="1" fontId="5" fillId="0" borderId="57" xfId="10" applyNumberFormat="1" applyFont="1" applyFill="1" applyBorder="1" applyAlignment="1">
      <alignment vertical="center"/>
    </xf>
    <xf numFmtId="0" fontId="0" fillId="0" borderId="92" xfId="0" applyBorder="1" applyAlignment="1">
      <alignment vertical="center"/>
    </xf>
    <xf numFmtId="0" fontId="6" fillId="0" borderId="2" xfId="0" applyFont="1" applyFill="1" applyBorder="1" applyAlignment="1">
      <alignment vertical="center"/>
    </xf>
    <xf numFmtId="165" fontId="6" fillId="0" borderId="13" xfId="0" applyNumberFormat="1" applyFont="1" applyFill="1" applyBorder="1" applyAlignment="1">
      <alignment vertical="center"/>
    </xf>
    <xf numFmtId="0" fontId="28" fillId="0" borderId="36" xfId="0" applyFont="1" applyBorder="1" applyAlignment="1">
      <alignment vertical="top"/>
    </xf>
    <xf numFmtId="0" fontId="28" fillId="0" borderId="90" xfId="0" applyFont="1" applyBorder="1" applyAlignment="1">
      <alignment vertical="top"/>
    </xf>
    <xf numFmtId="0" fontId="6" fillId="0" borderId="0" xfId="0" applyFont="1" applyBorder="1" applyAlignment="1">
      <alignment vertical="center"/>
    </xf>
    <xf numFmtId="0" fontId="5" fillId="0" borderId="71" xfId="1" applyFont="1" applyFill="1" applyBorder="1" applyAlignment="1">
      <alignment vertical="center" wrapText="1"/>
    </xf>
    <xf numFmtId="0" fontId="5" fillId="0" borderId="13" xfId="1" applyFont="1" applyFill="1" applyBorder="1" applyAlignment="1">
      <alignment vertical="center" wrapText="1"/>
    </xf>
    <xf numFmtId="0" fontId="5" fillId="0" borderId="71" xfId="1" applyFont="1" applyFill="1" applyBorder="1" applyAlignment="1">
      <alignment vertical="center"/>
    </xf>
    <xf numFmtId="0" fontId="5" fillId="0" borderId="13" xfId="1" applyFont="1" applyFill="1" applyBorder="1" applyAlignment="1">
      <alignment vertical="center"/>
    </xf>
    <xf numFmtId="49" fontId="4" fillId="0" borderId="36" xfId="7" applyNumberFormat="1" applyFont="1" applyFill="1" applyBorder="1" applyAlignment="1">
      <alignment horizontal="right" vertical="top"/>
    </xf>
    <xf numFmtId="0" fontId="6" fillId="0" borderId="24" xfId="0" applyFont="1" applyFill="1" applyBorder="1" applyAlignment="1">
      <alignment horizontal="right" vertical="center"/>
    </xf>
    <xf numFmtId="0" fontId="6" fillId="0" borderId="24" xfId="0" applyFont="1" applyBorder="1" applyAlignment="1">
      <alignment vertical="center"/>
    </xf>
    <xf numFmtId="0" fontId="6" fillId="0" borderId="15" xfId="0" applyFont="1" applyFill="1" applyBorder="1" applyAlignment="1">
      <alignment vertical="top"/>
    </xf>
    <xf numFmtId="0" fontId="6" fillId="0" borderId="74" xfId="0" applyFont="1" applyFill="1" applyBorder="1" applyAlignment="1">
      <alignment vertical="top"/>
    </xf>
    <xf numFmtId="0" fontId="6" fillId="0" borderId="36" xfId="0" applyFont="1" applyFill="1" applyBorder="1" applyAlignment="1">
      <alignment vertical="center"/>
    </xf>
    <xf numFmtId="0" fontId="6" fillId="0" borderId="86" xfId="0" applyFont="1" applyFill="1" applyBorder="1" applyAlignment="1">
      <alignment vertical="center"/>
    </xf>
    <xf numFmtId="0" fontId="28" fillId="0" borderId="15" xfId="0" applyFont="1" applyFill="1" applyBorder="1" applyAlignment="1">
      <alignment vertical="top"/>
    </xf>
    <xf numFmtId="0" fontId="28" fillId="0" borderId="0" xfId="0" applyFont="1" applyFill="1" applyBorder="1" applyAlignment="1">
      <alignment vertical="top"/>
    </xf>
    <xf numFmtId="0" fontId="4" fillId="0" borderId="44" xfId="3" applyFont="1" applyFill="1" applyBorder="1" applyAlignment="1">
      <alignment horizontal="right" vertical="top"/>
    </xf>
    <xf numFmtId="0" fontId="6" fillId="0" borderId="45" xfId="0" applyFont="1" applyFill="1" applyBorder="1" applyAlignment="1">
      <alignment vertical="top"/>
    </xf>
    <xf numFmtId="0" fontId="6" fillId="0" borderId="76" xfId="0" applyFont="1" applyFill="1" applyBorder="1" applyAlignment="1">
      <alignment vertical="top"/>
    </xf>
    <xf numFmtId="0" fontId="6" fillId="0" borderId="44" xfId="0" applyFont="1" applyFill="1" applyBorder="1" applyAlignment="1">
      <alignment horizontal="left" vertical="center" wrapText="1"/>
    </xf>
    <xf numFmtId="0" fontId="6" fillId="0" borderId="45" xfId="0" applyFont="1" applyFill="1" applyBorder="1" applyAlignment="1">
      <alignment horizontal="left" vertical="center" wrapText="1"/>
    </xf>
    <xf numFmtId="0" fontId="6" fillId="0" borderId="73" xfId="0" applyFont="1" applyFill="1" applyBorder="1" applyAlignment="1">
      <alignment horizontal="left" vertical="center" wrapText="1"/>
    </xf>
    <xf numFmtId="0" fontId="6" fillId="0" borderId="24" xfId="0" applyFont="1" applyFill="1" applyBorder="1" applyAlignment="1">
      <alignment vertical="center"/>
    </xf>
    <xf numFmtId="0" fontId="6" fillId="0" borderId="44" xfId="0" applyFont="1" applyFill="1" applyBorder="1" applyAlignment="1">
      <alignment horizontal="center" vertical="center" textRotation="90" wrapText="1"/>
    </xf>
    <xf numFmtId="0" fontId="6" fillId="0" borderId="19" xfId="0" applyFont="1" applyBorder="1" applyAlignment="1">
      <alignment horizontal="center" vertical="center" textRotation="90" wrapText="1"/>
    </xf>
    <xf numFmtId="0" fontId="28" fillId="0" borderId="74" xfId="0" applyFont="1" applyFill="1" applyBorder="1" applyAlignment="1">
      <alignment vertical="top"/>
    </xf>
    <xf numFmtId="0" fontId="28" fillId="0" borderId="45" xfId="0" applyFont="1" applyFill="1" applyBorder="1" applyAlignment="1">
      <alignment vertical="top"/>
    </xf>
    <xf numFmtId="0" fontId="28" fillId="0" borderId="76" xfId="0" applyFont="1" applyFill="1" applyBorder="1" applyAlignment="1">
      <alignment vertical="top"/>
    </xf>
    <xf numFmtId="0" fontId="2" fillId="0" borderId="15" xfId="3" applyFont="1" applyFill="1" applyBorder="1" applyAlignment="1">
      <alignment horizontal="center" vertical="center" textRotation="90" wrapText="1" shrinkToFit="1"/>
    </xf>
    <xf numFmtId="0" fontId="2" fillId="0" borderId="0" xfId="3" applyFont="1" applyFill="1" applyBorder="1" applyAlignment="1">
      <alignment horizontal="center" vertical="center" textRotation="90" wrapText="1" shrinkToFit="1"/>
    </xf>
    <xf numFmtId="0" fontId="2" fillId="0" borderId="45" xfId="3" applyFont="1" applyFill="1" applyBorder="1" applyAlignment="1">
      <alignment horizontal="center" vertical="center" textRotation="90" wrapText="1" shrinkToFit="1"/>
    </xf>
    <xf numFmtId="49" fontId="5" fillId="0" borderId="72" xfId="7" applyNumberFormat="1" applyFont="1" applyFill="1" applyBorder="1" applyAlignment="1">
      <alignment vertical="center" wrapText="1"/>
    </xf>
    <xf numFmtId="0" fontId="6" fillId="0" borderId="0" xfId="0" applyFont="1" applyFill="1" applyAlignment="1">
      <alignment vertical="center" wrapText="1"/>
    </xf>
    <xf numFmtId="0" fontId="6" fillId="0" borderId="29" xfId="0" applyFont="1" applyFill="1" applyBorder="1" applyAlignment="1">
      <alignment vertical="center" wrapText="1"/>
    </xf>
    <xf numFmtId="0" fontId="6" fillId="0" borderId="0" xfId="0" applyFont="1" applyFill="1" applyBorder="1" applyAlignment="1">
      <alignment vertical="center" wrapText="1"/>
    </xf>
    <xf numFmtId="0" fontId="5" fillId="0" borderId="71" xfId="0" applyNumberFormat="1" applyFont="1" applyFill="1" applyBorder="1" applyAlignment="1">
      <alignment vertical="center"/>
    </xf>
    <xf numFmtId="0" fontId="6" fillId="0" borderId="61" xfId="0" applyFont="1" applyFill="1" applyBorder="1" applyAlignment="1">
      <alignment vertical="center"/>
    </xf>
    <xf numFmtId="0" fontId="6" fillId="0" borderId="61" xfId="0" applyFont="1" applyBorder="1" applyAlignment="1">
      <alignment vertical="center"/>
    </xf>
    <xf numFmtId="0" fontId="5" fillId="0" borderId="58" xfId="0" applyNumberFormat="1" applyFont="1" applyFill="1" applyBorder="1" applyAlignment="1">
      <alignment horizontal="left" vertical="center"/>
    </xf>
    <xf numFmtId="0" fontId="5" fillId="0" borderId="24" xfId="0" applyNumberFormat="1" applyFont="1" applyFill="1" applyBorder="1" applyAlignment="1">
      <alignment horizontal="left" vertical="center"/>
    </xf>
    <xf numFmtId="1" fontId="5" fillId="0" borderId="71" xfId="7" applyNumberFormat="1" applyFont="1" applyFill="1" applyBorder="1" applyAlignment="1">
      <alignment horizontal="left" vertical="center"/>
    </xf>
    <xf numFmtId="1" fontId="5" fillId="0" borderId="22" xfId="7" applyNumberFormat="1" applyFont="1" applyFill="1" applyBorder="1" applyAlignment="1">
      <alignment horizontal="left" vertical="center"/>
    </xf>
    <xf numFmtId="1" fontId="5" fillId="4" borderId="22" xfId="7" applyNumberFormat="1" applyFont="1" applyFill="1" applyBorder="1" applyAlignment="1">
      <alignment horizontal="center" vertical="center"/>
    </xf>
    <xf numFmtId="0" fontId="18" fillId="0" borderId="73" xfId="3" applyFont="1" applyFill="1" applyBorder="1" applyAlignment="1">
      <alignment horizontal="center" vertical="center" textRotation="90" wrapText="1" shrinkToFit="1"/>
    </xf>
    <xf numFmtId="0" fontId="18" fillId="0" borderId="76" xfId="3" applyFont="1" applyFill="1" applyBorder="1" applyAlignment="1">
      <alignment horizontal="center" vertical="center" textRotation="90" wrapText="1" shrinkToFit="1"/>
    </xf>
    <xf numFmtId="49" fontId="5" fillId="0" borderId="41" xfId="7" applyNumberFormat="1" applyFont="1" applyFill="1" applyBorder="1" applyAlignment="1">
      <alignment vertical="center" wrapText="1"/>
    </xf>
    <xf numFmtId="0" fontId="6" fillId="0" borderId="36" xfId="0" applyFont="1" applyFill="1" applyBorder="1" applyAlignment="1">
      <alignment vertical="center" wrapText="1"/>
    </xf>
    <xf numFmtId="0" fontId="6" fillId="0" borderId="86" xfId="0" applyFont="1" applyFill="1" applyBorder="1" applyAlignment="1">
      <alignment vertical="center" wrapText="1"/>
    </xf>
    <xf numFmtId="49" fontId="5" fillId="0" borderId="82" xfId="7" applyNumberFormat="1" applyFont="1" applyFill="1" applyBorder="1" applyAlignment="1">
      <alignment vertical="center" wrapText="1"/>
    </xf>
    <xf numFmtId="0" fontId="6" fillId="0" borderId="58" xfId="0" applyFont="1" applyFill="1" applyBorder="1" applyAlignment="1">
      <alignment vertical="center"/>
    </xf>
    <xf numFmtId="0" fontId="6" fillId="0" borderId="17" xfId="0" applyFont="1" applyFill="1" applyBorder="1" applyAlignment="1">
      <alignment vertical="center"/>
    </xf>
    <xf numFmtId="0" fontId="6" fillId="0" borderId="85" xfId="0" applyFont="1" applyFill="1" applyBorder="1" applyAlignment="1">
      <alignment vertical="center"/>
    </xf>
    <xf numFmtId="49" fontId="5" fillId="0" borderId="58" xfId="7" applyNumberFormat="1" applyFont="1" applyFill="1" applyBorder="1" applyAlignment="1">
      <alignment vertical="center" wrapText="1"/>
    </xf>
    <xf numFmtId="1" fontId="5" fillId="4" borderId="92" xfId="7" applyNumberFormat="1" applyFont="1" applyFill="1" applyBorder="1" applyAlignment="1">
      <alignment horizontal="center" vertical="center"/>
    </xf>
    <xf numFmtId="0" fontId="5" fillId="0" borderId="24" xfId="0" applyNumberFormat="1" applyFont="1" applyFill="1" applyBorder="1" applyAlignment="1">
      <alignment vertical="center"/>
    </xf>
    <xf numFmtId="49" fontId="5" fillId="0" borderId="58" xfId="7" applyNumberFormat="1" applyFont="1" applyFill="1" applyBorder="1" applyAlignment="1">
      <alignment vertical="center"/>
    </xf>
    <xf numFmtId="49" fontId="5" fillId="0" borderId="24" xfId="7" applyNumberFormat="1" applyFont="1" applyFill="1" applyBorder="1" applyAlignment="1">
      <alignment vertical="center"/>
    </xf>
    <xf numFmtId="49" fontId="5" fillId="0" borderId="85" xfId="7" applyNumberFormat="1" applyFont="1" applyFill="1" applyBorder="1" applyAlignment="1">
      <alignment vertical="center" wrapText="1"/>
    </xf>
    <xf numFmtId="1" fontId="5" fillId="0" borderId="12" xfId="7" applyNumberFormat="1" applyFont="1" applyFill="1" applyBorder="1" applyAlignment="1">
      <alignment vertical="center"/>
    </xf>
    <xf numFmtId="0" fontId="5" fillId="0" borderId="29" xfId="0" applyNumberFormat="1" applyFont="1" applyFill="1" applyBorder="1" applyAlignment="1">
      <alignment vertical="center"/>
    </xf>
    <xf numFmtId="0" fontId="6" fillId="0" borderId="29" xfId="0" applyFont="1" applyFill="1" applyBorder="1" applyAlignment="1">
      <alignment vertical="center"/>
    </xf>
    <xf numFmtId="0" fontId="5" fillId="0" borderId="61" xfId="0" applyNumberFormat="1" applyFont="1" applyFill="1" applyBorder="1" applyAlignment="1">
      <alignment vertical="center"/>
    </xf>
    <xf numFmtId="0" fontId="6" fillId="0" borderId="13" xfId="0" applyFont="1" applyFill="1" applyBorder="1" applyAlignment="1">
      <alignment vertical="center" wrapText="1"/>
    </xf>
    <xf numFmtId="0" fontId="6" fillId="0" borderId="16" xfId="0" applyFont="1" applyFill="1" applyBorder="1" applyAlignment="1">
      <alignment vertical="center" wrapText="1"/>
    </xf>
    <xf numFmtId="0" fontId="6" fillId="0" borderId="2" xfId="0" applyFont="1" applyFill="1" applyBorder="1" applyAlignment="1">
      <alignment vertical="center" wrapText="1"/>
    </xf>
    <xf numFmtId="0" fontId="4" fillId="0" borderId="0" xfId="3" applyFont="1" applyFill="1" applyBorder="1" applyAlignment="1">
      <alignment horizontal="right" vertical="top"/>
    </xf>
    <xf numFmtId="0" fontId="28" fillId="0" borderId="0" xfId="0" applyFont="1" applyBorder="1" applyAlignment="1">
      <alignment horizontal="right" vertical="top"/>
    </xf>
    <xf numFmtId="0" fontId="6" fillId="0" borderId="17" xfId="0" applyFont="1" applyFill="1" applyBorder="1" applyAlignment="1">
      <alignment vertical="center" wrapText="1"/>
    </xf>
    <xf numFmtId="0" fontId="6" fillId="0" borderId="85" xfId="0" applyFont="1" applyFill="1" applyBorder="1" applyAlignment="1">
      <alignment vertical="center" wrapText="1"/>
    </xf>
    <xf numFmtId="0" fontId="6" fillId="0" borderId="24" xfId="0" applyFont="1" applyFill="1" applyBorder="1" applyAlignment="1">
      <alignment vertical="center" wrapText="1"/>
    </xf>
    <xf numFmtId="0" fontId="2" fillId="0" borderId="0" xfId="8" applyFont="1" applyAlignment="1">
      <alignment horizontal="left" wrapText="1"/>
    </xf>
    <xf numFmtId="0" fontId="3" fillId="0" borderId="0" xfId="3" applyFont="1" applyAlignment="1">
      <alignment horizontal="center" vertical="top" wrapText="1"/>
    </xf>
    <xf numFmtId="49" fontId="5" fillId="0" borderId="12" xfId="0" applyNumberFormat="1" applyFont="1" applyFill="1" applyBorder="1" applyAlignment="1">
      <alignment horizontal="left" vertical="center"/>
    </xf>
    <xf numFmtId="49" fontId="5" fillId="0" borderId="61" xfId="0" applyNumberFormat="1" applyFont="1" applyFill="1" applyBorder="1" applyAlignment="1">
      <alignment horizontal="left" vertical="center"/>
    </xf>
    <xf numFmtId="49" fontId="5" fillId="0" borderId="61" xfId="7" applyNumberFormat="1" applyFont="1" applyFill="1" applyBorder="1" applyAlignment="1">
      <alignment horizontal="center" vertical="center"/>
    </xf>
    <xf numFmtId="165" fontId="5" fillId="0" borderId="61" xfId="7" applyNumberFormat="1" applyFont="1" applyFill="1" applyBorder="1" applyAlignment="1">
      <alignment horizontal="right" vertical="center"/>
    </xf>
    <xf numFmtId="0" fontId="5" fillId="0" borderId="12" xfId="7" applyNumberFormat="1" applyFont="1" applyFill="1" applyBorder="1" applyAlignment="1">
      <alignment horizontal="left" vertical="center"/>
    </xf>
    <xf numFmtId="0" fontId="5" fillId="0" borderId="61" xfId="7" applyNumberFormat="1" applyFont="1" applyFill="1" applyBorder="1" applyAlignment="1">
      <alignment horizontal="left" vertical="center"/>
    </xf>
    <xf numFmtId="0" fontId="5" fillId="0" borderId="13" xfId="7" applyNumberFormat="1" applyFont="1" applyFill="1" applyBorder="1" applyAlignment="1">
      <alignment horizontal="left" vertical="center"/>
    </xf>
    <xf numFmtId="0" fontId="0" fillId="0" borderId="13" xfId="0" applyFill="1" applyBorder="1" applyAlignment="1">
      <alignment horizontal="left" vertical="center"/>
    </xf>
    <xf numFmtId="2" fontId="5" fillId="0" borderId="12" xfId="7" applyNumberFormat="1" applyFont="1" applyFill="1" applyBorder="1" applyAlignment="1">
      <alignment horizontal="right" vertical="center"/>
    </xf>
    <xf numFmtId="2" fontId="5" fillId="0" borderId="61" xfId="7" applyNumberFormat="1" applyFont="1" applyFill="1" applyBorder="1" applyAlignment="1">
      <alignment horizontal="right" vertical="center"/>
    </xf>
    <xf numFmtId="1" fontId="5" fillId="0" borderId="12" xfId="7" applyNumberFormat="1" applyFont="1" applyFill="1" applyBorder="1" applyAlignment="1">
      <alignment horizontal="center" vertical="center"/>
    </xf>
    <xf numFmtId="49" fontId="5" fillId="0" borderId="69" xfId="7" applyNumberFormat="1" applyFont="1" applyFill="1" applyBorder="1" applyAlignment="1">
      <alignment horizontal="left" vertical="center" wrapText="1"/>
    </xf>
    <xf numFmtId="0" fontId="0" fillId="0" borderId="71" xfId="0" applyFill="1" applyBorder="1" applyAlignment="1">
      <alignment horizontal="left" vertical="center" wrapText="1"/>
    </xf>
    <xf numFmtId="49" fontId="5" fillId="0" borderId="71" xfId="0" applyNumberFormat="1" applyFont="1" applyFill="1" applyBorder="1" applyAlignment="1">
      <alignment horizontal="left" vertical="center" wrapText="1"/>
    </xf>
    <xf numFmtId="0" fontId="0" fillId="0" borderId="22" xfId="0" applyFill="1" applyBorder="1" applyAlignment="1">
      <alignment horizontal="left" vertical="center" wrapText="1"/>
    </xf>
    <xf numFmtId="0" fontId="0" fillId="0" borderId="45" xfId="0" applyFill="1" applyBorder="1" applyAlignment="1">
      <alignment vertical="top"/>
    </xf>
    <xf numFmtId="49" fontId="5" fillId="0" borderId="70" xfId="7" applyNumberFormat="1" applyFont="1" applyFill="1" applyBorder="1" applyAlignment="1">
      <alignment horizontal="left" vertical="center" wrapText="1"/>
    </xf>
    <xf numFmtId="0" fontId="0" fillId="0" borderId="61" xfId="0" applyFill="1" applyBorder="1" applyAlignment="1">
      <alignment horizontal="left" vertical="center" wrapText="1"/>
    </xf>
    <xf numFmtId="0" fontId="5" fillId="0" borderId="13" xfId="0" applyFont="1" applyFill="1" applyBorder="1" applyAlignment="1">
      <alignment horizontal="right" vertical="center"/>
    </xf>
    <xf numFmtId="0" fontId="5" fillId="0" borderId="2" xfId="0" applyFont="1" applyFill="1" applyBorder="1" applyAlignment="1">
      <alignment horizontal="right" vertical="center"/>
    </xf>
    <xf numFmtId="0" fontId="5" fillId="0" borderId="12" xfId="0" applyFont="1" applyFill="1" applyBorder="1" applyAlignment="1">
      <alignment horizontal="right" vertical="center"/>
    </xf>
    <xf numFmtId="0" fontId="5" fillId="0" borderId="12" xfId="0" applyFont="1" applyBorder="1" applyAlignment="1">
      <alignment vertical="center"/>
    </xf>
    <xf numFmtId="0" fontId="5" fillId="0" borderId="61" xfId="0" applyFont="1" applyBorder="1" applyAlignment="1"/>
    <xf numFmtId="0" fontId="5" fillId="0" borderId="12" xfId="0" applyFont="1" applyBorder="1" applyAlignment="1">
      <alignment horizontal="right" vertical="center"/>
    </xf>
    <xf numFmtId="0" fontId="5" fillId="0" borderId="61" xfId="0" applyFont="1" applyBorder="1" applyAlignment="1">
      <alignment vertical="center"/>
    </xf>
    <xf numFmtId="0" fontId="5" fillId="0" borderId="57" xfId="0" applyFont="1" applyBorder="1" applyAlignment="1">
      <alignment horizontal="center" vertical="center"/>
    </xf>
    <xf numFmtId="0" fontId="5" fillId="0" borderId="80" xfId="0" applyFont="1" applyBorder="1" applyAlignment="1">
      <alignment horizontal="center" vertical="center"/>
    </xf>
    <xf numFmtId="0" fontId="0" fillId="0" borderId="15" xfId="0" applyFill="1" applyBorder="1" applyAlignment="1">
      <alignment vertical="top"/>
    </xf>
    <xf numFmtId="0" fontId="5" fillId="0" borderId="2" xfId="0" applyFont="1" applyFill="1" applyBorder="1" applyAlignment="1">
      <alignment horizontal="left" vertical="center"/>
    </xf>
    <xf numFmtId="0" fontId="5" fillId="0" borderId="24" xfId="0" applyFont="1" applyFill="1" applyBorder="1" applyAlignment="1">
      <alignment horizontal="left" vertical="center"/>
    </xf>
    <xf numFmtId="0" fontId="5" fillId="0" borderId="2" xfId="0" applyFont="1" applyFill="1" applyBorder="1" applyAlignment="1">
      <alignment horizontal="center" vertical="center"/>
    </xf>
    <xf numFmtId="0" fontId="5" fillId="0" borderId="24" xfId="0" applyFont="1" applyFill="1" applyBorder="1" applyAlignment="1">
      <alignment horizontal="center" vertical="center"/>
    </xf>
    <xf numFmtId="165" fontId="5" fillId="0" borderId="2" xfId="0" applyNumberFormat="1" applyFont="1" applyFill="1" applyBorder="1" applyAlignment="1">
      <alignment horizontal="right" vertical="center"/>
    </xf>
    <xf numFmtId="165" fontId="5" fillId="0" borderId="12" xfId="0" applyNumberFormat="1" applyFont="1" applyFill="1" applyBorder="1" applyAlignment="1">
      <alignment horizontal="right" vertical="center"/>
    </xf>
    <xf numFmtId="49" fontId="5" fillId="0" borderId="45" xfId="7" applyNumberFormat="1" applyFont="1" applyFill="1" applyBorder="1" applyAlignment="1">
      <alignment horizontal="left" vertical="top" wrapText="1"/>
    </xf>
    <xf numFmtId="49" fontId="5" fillId="0" borderId="73" xfId="7" applyNumberFormat="1" applyFont="1" applyFill="1" applyBorder="1" applyAlignment="1">
      <alignment horizontal="left" vertical="top" wrapText="1"/>
    </xf>
    <xf numFmtId="0" fontId="0" fillId="0" borderId="15" xfId="0" applyBorder="1" applyAlignment="1">
      <alignment horizontal="right" vertical="top"/>
    </xf>
    <xf numFmtId="49" fontId="5" fillId="0" borderId="15" xfId="7" applyNumberFormat="1" applyFont="1" applyFill="1" applyBorder="1" applyAlignment="1">
      <alignment horizontal="left" vertical="top" wrapText="1"/>
    </xf>
    <xf numFmtId="0" fontId="0" fillId="0" borderId="15" xfId="0" applyBorder="1" applyAlignment="1">
      <alignment horizontal="left" vertical="top" wrapText="1"/>
    </xf>
    <xf numFmtId="0" fontId="0" fillId="0" borderId="72" xfId="0" applyBorder="1" applyAlignment="1">
      <alignment horizontal="left" vertical="top" wrapText="1"/>
    </xf>
    <xf numFmtId="0" fontId="0" fillId="0" borderId="0" xfId="0" applyBorder="1" applyAlignment="1">
      <alignment horizontal="left" vertical="top" wrapText="1"/>
    </xf>
    <xf numFmtId="0" fontId="0" fillId="0" borderId="0" xfId="0" applyAlignment="1">
      <alignment horizontal="left" vertical="top" wrapText="1"/>
    </xf>
    <xf numFmtId="0" fontId="0" fillId="0" borderId="29" xfId="0" applyBorder="1" applyAlignment="1">
      <alignment horizontal="left" vertical="top" wrapText="1"/>
    </xf>
    <xf numFmtId="0" fontId="0" fillId="0" borderId="105" xfId="0" applyFill="1" applyBorder="1" applyAlignment="1">
      <alignment horizontal="left" vertical="center" wrapText="1"/>
    </xf>
    <xf numFmtId="0" fontId="0" fillId="0" borderId="14" xfId="0" applyFill="1" applyBorder="1" applyAlignment="1">
      <alignment horizontal="left" vertical="center" wrapText="1"/>
    </xf>
    <xf numFmtId="0" fontId="0" fillId="0" borderId="26" xfId="0" applyFill="1" applyBorder="1" applyAlignment="1">
      <alignment horizontal="left" vertical="center" wrapText="1"/>
    </xf>
    <xf numFmtId="0" fontId="5" fillId="0" borderId="13" xfId="0" applyFont="1" applyFill="1" applyBorder="1" applyAlignment="1">
      <alignment horizontal="center" vertical="center"/>
    </xf>
    <xf numFmtId="0" fontId="0" fillId="0" borderId="78" xfId="0" applyBorder="1" applyAlignment="1">
      <alignment horizontal="center" vertical="top" textRotation="90" wrapText="1"/>
    </xf>
    <xf numFmtId="0" fontId="10" fillId="0" borderId="0" xfId="0" applyFont="1" applyFill="1" applyBorder="1" applyAlignment="1">
      <alignment vertical="top"/>
    </xf>
    <xf numFmtId="49" fontId="5" fillId="0" borderId="77" xfId="7" applyNumberFormat="1" applyFont="1" applyFill="1" applyBorder="1" applyAlignment="1">
      <alignment horizontal="center" vertical="top" textRotation="90" wrapText="1"/>
    </xf>
    <xf numFmtId="49" fontId="5" fillId="0" borderId="17" xfId="7" applyNumberFormat="1" applyFont="1" applyFill="1" applyBorder="1" applyAlignment="1">
      <alignment horizontal="left" vertical="center" wrapText="1"/>
    </xf>
    <xf numFmtId="49" fontId="5" fillId="0" borderId="66" xfId="7" applyNumberFormat="1"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2" fillId="0" borderId="15" xfId="0" applyFont="1" applyBorder="1" applyAlignment="1">
      <alignment vertical="top"/>
    </xf>
    <xf numFmtId="165" fontId="5" fillId="0" borderId="2" xfId="7" applyNumberFormat="1" applyFont="1" applyFill="1" applyBorder="1" applyAlignment="1">
      <alignment vertical="center"/>
    </xf>
    <xf numFmtId="0" fontId="0" fillId="0" borderId="4" xfId="0" applyBorder="1" applyAlignment="1">
      <alignment vertical="center"/>
    </xf>
    <xf numFmtId="1" fontId="5" fillId="0" borderId="12" xfId="7" applyNumberFormat="1" applyFont="1" applyFill="1" applyBorder="1" applyAlignment="1">
      <alignment vertical="center" wrapText="1"/>
    </xf>
    <xf numFmtId="165" fontId="5" fillId="0" borderId="71" xfId="7" applyNumberFormat="1" applyFont="1" applyFill="1" applyBorder="1" applyAlignment="1">
      <alignment horizontal="center" vertical="center"/>
    </xf>
    <xf numFmtId="165" fontId="5" fillId="0" borderId="79" xfId="7" applyNumberFormat="1" applyFont="1" applyFill="1" applyBorder="1" applyAlignment="1">
      <alignment horizontal="center" vertical="center"/>
    </xf>
    <xf numFmtId="0" fontId="0" fillId="0" borderId="80" xfId="0" applyFill="1" applyBorder="1" applyAlignment="1">
      <alignment horizontal="center" vertical="center"/>
    </xf>
    <xf numFmtId="0" fontId="0" fillId="0" borderId="56" xfId="0" applyFill="1" applyBorder="1" applyAlignment="1">
      <alignment horizontal="center" vertical="center"/>
    </xf>
    <xf numFmtId="1" fontId="5" fillId="0" borderId="57" xfId="7" applyNumberFormat="1" applyFont="1" applyFill="1" applyBorder="1" applyAlignment="1">
      <alignment horizontal="center" vertical="center"/>
    </xf>
    <xf numFmtId="165" fontId="5" fillId="0" borderId="12" xfId="7" applyNumberFormat="1" applyFont="1" applyFill="1" applyBorder="1" applyAlignment="1">
      <alignment horizontal="center" vertical="center"/>
    </xf>
    <xf numFmtId="165" fontId="5" fillId="0" borderId="57" xfId="7" applyNumberFormat="1" applyFont="1" applyFill="1" applyBorder="1" applyAlignment="1">
      <alignment horizontal="center" vertical="center"/>
    </xf>
    <xf numFmtId="0" fontId="0" fillId="0" borderId="92" xfId="0" applyFill="1" applyBorder="1" applyAlignment="1">
      <alignment horizontal="center" vertical="center"/>
    </xf>
    <xf numFmtId="0" fontId="13" fillId="0" borderId="36" xfId="3" applyFont="1" applyFill="1" applyBorder="1" applyAlignment="1">
      <alignment horizontal="right" vertical="top" wrapText="1"/>
    </xf>
    <xf numFmtId="0" fontId="10" fillId="0" borderId="36" xfId="0" applyFont="1" applyBorder="1" applyAlignment="1">
      <alignment vertical="top" wrapText="1"/>
    </xf>
    <xf numFmtId="0" fontId="10" fillId="0" borderId="90" xfId="0" applyFont="1" applyBorder="1" applyAlignment="1">
      <alignment vertical="top" wrapText="1"/>
    </xf>
    <xf numFmtId="0" fontId="0" fillId="0" borderId="36" xfId="0" applyBorder="1" applyAlignment="1">
      <alignment vertical="top" wrapText="1"/>
    </xf>
    <xf numFmtId="0" fontId="0" fillId="0" borderId="90" xfId="0" applyBorder="1" applyAlignment="1">
      <alignment vertical="top" wrapText="1"/>
    </xf>
    <xf numFmtId="0" fontId="5" fillId="0" borderId="71" xfId="0" applyFont="1" applyBorder="1" applyAlignment="1">
      <alignment horizontal="center" vertical="center"/>
    </xf>
    <xf numFmtId="0" fontId="5" fillId="0" borderId="13" xfId="0" applyFont="1" applyBorder="1" applyAlignment="1">
      <alignment horizontal="center" vertical="center"/>
    </xf>
    <xf numFmtId="165" fontId="5" fillId="0" borderId="13" xfId="0" applyNumberFormat="1" applyFont="1" applyFill="1" applyBorder="1" applyAlignment="1">
      <alignment vertical="center"/>
    </xf>
    <xf numFmtId="0" fontId="5" fillId="0" borderId="2" xfId="0" applyFont="1" applyFill="1" applyBorder="1" applyAlignment="1">
      <alignment vertical="center"/>
    </xf>
    <xf numFmtId="0" fontId="5" fillId="0" borderId="2" xfId="0" applyFont="1" applyBorder="1" applyAlignment="1">
      <alignment vertical="center"/>
    </xf>
    <xf numFmtId="0" fontId="5" fillId="0" borderId="22" xfId="0" applyFont="1" applyBorder="1" applyAlignment="1">
      <alignment vertical="center"/>
    </xf>
    <xf numFmtId="0" fontId="13" fillId="0" borderId="77" xfId="3" applyFont="1" applyFill="1" applyBorder="1" applyAlignment="1">
      <alignment horizontal="right" vertical="top" wrapText="1"/>
    </xf>
    <xf numFmtId="0" fontId="0" fillId="0" borderId="15" xfId="0" applyBorder="1" applyAlignment="1">
      <alignment vertical="top" wrapText="1"/>
    </xf>
    <xf numFmtId="0" fontId="0" fillId="0" borderId="74" xfId="0" applyBorder="1" applyAlignment="1">
      <alignment vertical="top" wrapText="1"/>
    </xf>
    <xf numFmtId="165" fontId="0" fillId="0" borderId="22" xfId="0" applyNumberFormat="1" applyFill="1" applyBorder="1" applyAlignment="1">
      <alignment horizontal="right" vertical="center"/>
    </xf>
    <xf numFmtId="165" fontId="0" fillId="0" borderId="22" xfId="0" applyNumberFormat="1" applyBorder="1" applyAlignment="1">
      <alignment horizontal="right" vertical="center"/>
    </xf>
    <xf numFmtId="1" fontId="5" fillId="0" borderId="61" xfId="7" applyNumberFormat="1" applyFont="1" applyFill="1" applyBorder="1" applyAlignment="1">
      <alignment horizontal="left" vertical="top" wrapText="1"/>
    </xf>
    <xf numFmtId="165" fontId="5" fillId="4" borderId="61" xfId="7" applyNumberFormat="1" applyFont="1" applyFill="1" applyBorder="1" applyAlignment="1">
      <alignment horizontal="center" wrapText="1"/>
    </xf>
    <xf numFmtId="165" fontId="5" fillId="4" borderId="71" xfId="7" applyNumberFormat="1" applyFont="1" applyFill="1" applyBorder="1" applyAlignment="1">
      <alignment horizontal="center" wrapText="1"/>
    </xf>
    <xf numFmtId="165" fontId="5" fillId="4" borderId="22" xfId="7" applyNumberFormat="1" applyFont="1" applyFill="1" applyBorder="1" applyAlignment="1">
      <alignment horizontal="center" wrapText="1"/>
    </xf>
    <xf numFmtId="165" fontId="5" fillId="4" borderId="79" xfId="7" applyNumberFormat="1" applyFont="1" applyFill="1" applyBorder="1" applyAlignment="1">
      <alignment horizontal="center" wrapText="1"/>
    </xf>
    <xf numFmtId="165" fontId="5" fillId="4" borderId="92" xfId="7" applyNumberFormat="1" applyFont="1" applyFill="1" applyBorder="1" applyAlignment="1">
      <alignment horizontal="center" wrapText="1"/>
    </xf>
    <xf numFmtId="0" fontId="0" fillId="0" borderId="78" xfId="0" applyBorder="1" applyAlignment="1">
      <alignment vertical="center"/>
    </xf>
    <xf numFmtId="0" fontId="0" fillId="0" borderId="0" xfId="0" applyBorder="1" applyAlignment="1">
      <alignment vertical="center"/>
    </xf>
    <xf numFmtId="0" fontId="0" fillId="0" borderId="29" xfId="0" applyBorder="1" applyAlignment="1">
      <alignment vertical="center"/>
    </xf>
    <xf numFmtId="0" fontId="0" fillId="0" borderId="44" xfId="0" applyBorder="1" applyAlignment="1">
      <alignment vertical="center"/>
    </xf>
    <xf numFmtId="0" fontId="0" fillId="0" borderId="45" xfId="0" applyBorder="1" applyAlignment="1">
      <alignment vertical="center"/>
    </xf>
    <xf numFmtId="0" fontId="0" fillId="0" borderId="73" xfId="0" applyBorder="1" applyAlignment="1">
      <alignment vertical="center"/>
    </xf>
    <xf numFmtId="0" fontId="0" fillId="0" borderId="80" xfId="0" applyBorder="1" applyAlignment="1">
      <alignment horizontal="center" vertical="center"/>
    </xf>
    <xf numFmtId="0" fontId="5" fillId="0" borderId="79" xfId="0" applyFont="1" applyBorder="1" applyAlignment="1">
      <alignment horizontal="center" vertical="center"/>
    </xf>
    <xf numFmtId="0" fontId="6" fillId="0" borderId="56" xfId="0" applyFont="1" applyBorder="1" applyAlignment="1">
      <alignment horizontal="center" vertical="center"/>
    </xf>
    <xf numFmtId="49" fontId="5" fillId="0" borderId="0" xfId="7" applyNumberFormat="1" applyFont="1" applyFill="1" applyBorder="1" applyAlignment="1">
      <alignment horizontal="left" wrapText="1"/>
    </xf>
    <xf numFmtId="0" fontId="0" fillId="0" borderId="0" xfId="0" applyBorder="1" applyAlignment="1">
      <alignment wrapText="1"/>
    </xf>
    <xf numFmtId="0" fontId="0" fillId="0" borderId="29" xfId="0" applyBorder="1" applyAlignment="1">
      <alignment wrapText="1"/>
    </xf>
    <xf numFmtId="49" fontId="5" fillId="0" borderId="72" xfId="7" applyNumberFormat="1" applyFont="1" applyFill="1" applyBorder="1" applyAlignment="1">
      <alignment horizontal="left" vertical="top" wrapText="1"/>
    </xf>
    <xf numFmtId="0" fontId="0" fillId="0" borderId="15" xfId="0" applyBorder="1" applyAlignment="1">
      <alignment vertical="center" wrapText="1"/>
    </xf>
    <xf numFmtId="0" fontId="0" fillId="0" borderId="72" xfId="0" applyBorder="1" applyAlignment="1">
      <alignment vertical="center" wrapText="1"/>
    </xf>
    <xf numFmtId="0" fontId="0" fillId="0" borderId="78" xfId="0" applyBorder="1" applyAlignment="1">
      <alignment vertical="center" wrapText="1"/>
    </xf>
    <xf numFmtId="0" fontId="0" fillId="0" borderId="0" xfId="0" applyBorder="1" applyAlignment="1">
      <alignment vertical="center" wrapText="1"/>
    </xf>
    <xf numFmtId="0" fontId="0" fillId="0" borderId="29" xfId="0" applyBorder="1" applyAlignment="1">
      <alignment vertical="center" wrapText="1"/>
    </xf>
    <xf numFmtId="0" fontId="0" fillId="0" borderId="44" xfId="0" applyBorder="1" applyAlignment="1">
      <alignment vertical="center" wrapText="1"/>
    </xf>
    <xf numFmtId="0" fontId="0" fillId="0" borderId="45" xfId="0" applyBorder="1" applyAlignment="1">
      <alignment vertical="center" wrapText="1"/>
    </xf>
    <xf numFmtId="0" fontId="0" fillId="0" borderId="73" xfId="0" applyBorder="1" applyAlignment="1">
      <alignment vertical="center" wrapText="1"/>
    </xf>
    <xf numFmtId="0" fontId="5" fillId="0" borderId="12" xfId="0" applyNumberFormat="1" applyFont="1" applyFill="1" applyBorder="1" applyAlignment="1">
      <alignment horizontal="left" vertical="center"/>
    </xf>
    <xf numFmtId="0" fontId="5" fillId="0" borderId="92" xfId="0" applyFont="1" applyBorder="1" applyAlignment="1">
      <alignment horizontal="center" vertical="center"/>
    </xf>
    <xf numFmtId="49" fontId="5" fillId="0" borderId="99" xfId="7" applyNumberFormat="1" applyFont="1" applyFill="1" applyBorder="1" applyAlignment="1">
      <alignment horizontal="left" vertical="center" wrapText="1"/>
    </xf>
    <xf numFmtId="0" fontId="10" fillId="0" borderId="53" xfId="0" applyFont="1" applyFill="1" applyBorder="1" applyAlignment="1">
      <alignment vertical="top"/>
    </xf>
    <xf numFmtId="0" fontId="0" fillId="0" borderId="2" xfId="0" applyFill="1" applyBorder="1" applyAlignment="1">
      <alignment horizontal="center" vertical="center"/>
    </xf>
    <xf numFmtId="0" fontId="0" fillId="0" borderId="12" xfId="0" applyFill="1" applyBorder="1" applyAlignment="1">
      <alignment horizontal="center" vertical="center"/>
    </xf>
    <xf numFmtId="165" fontId="5" fillId="0" borderId="58" xfId="0" applyNumberFormat="1" applyFont="1" applyFill="1" applyBorder="1" applyAlignment="1">
      <alignment vertical="center"/>
    </xf>
    <xf numFmtId="165" fontId="0" fillId="0" borderId="2" xfId="0" applyNumberFormat="1" applyFill="1" applyBorder="1" applyAlignment="1">
      <alignment vertical="center"/>
    </xf>
    <xf numFmtId="165" fontId="0" fillId="0" borderId="12" xfId="0" applyNumberFormat="1" applyFill="1" applyBorder="1" applyAlignment="1">
      <alignment vertical="center"/>
    </xf>
    <xf numFmtId="165" fontId="0" fillId="0" borderId="2" xfId="0" applyNumberFormat="1" applyBorder="1" applyAlignment="1">
      <alignment vertical="center"/>
    </xf>
    <xf numFmtId="165" fontId="0" fillId="0" borderId="12" xfId="0" applyNumberFormat="1" applyBorder="1" applyAlignment="1">
      <alignment vertical="center"/>
    </xf>
    <xf numFmtId="165" fontId="5" fillId="0" borderId="24" xfId="0" applyNumberFormat="1" applyFont="1" applyFill="1" applyBorder="1" applyAlignment="1">
      <alignment horizontal="right" vertical="center"/>
    </xf>
    <xf numFmtId="0" fontId="5" fillId="0" borderId="13" xfId="0" applyFont="1" applyFill="1" applyBorder="1" applyAlignment="1">
      <alignment horizontal="left" vertical="center" wrapText="1"/>
    </xf>
    <xf numFmtId="0" fontId="5" fillId="0" borderId="61" xfId="0" applyFont="1" applyFill="1" applyBorder="1" applyAlignment="1">
      <alignment horizontal="right" vertical="center"/>
    </xf>
    <xf numFmtId="0" fontId="5" fillId="0" borderId="22" xfId="0" applyFont="1" applyFill="1" applyBorder="1" applyAlignment="1">
      <alignment horizontal="right" vertical="center"/>
    </xf>
    <xf numFmtId="0" fontId="2" fillId="0" borderId="61" xfId="0" applyFont="1" applyFill="1" applyBorder="1" applyAlignment="1">
      <alignment horizontal="left" vertical="center" wrapText="1"/>
    </xf>
    <xf numFmtId="0" fontId="5" fillId="0" borderId="61" xfId="0" applyFont="1" applyFill="1" applyBorder="1" applyAlignment="1">
      <alignment horizontal="left" vertical="center"/>
    </xf>
    <xf numFmtId="0" fontId="5" fillId="0" borderId="61"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91" xfId="3" applyFont="1" applyFill="1" applyBorder="1" applyAlignment="1">
      <alignment horizontal="left" vertical="center" wrapText="1"/>
    </xf>
    <xf numFmtId="0" fontId="6" fillId="0" borderId="53" xfId="0" applyFont="1" applyFill="1" applyBorder="1" applyAlignment="1">
      <alignment horizontal="left" vertical="center" wrapText="1"/>
    </xf>
    <xf numFmtId="0" fontId="0" fillId="0" borderId="76" xfId="0" applyBorder="1" applyAlignment="1">
      <alignment vertical="top"/>
    </xf>
    <xf numFmtId="0" fontId="5" fillId="0" borderId="83" xfId="3" applyFont="1" applyFill="1" applyBorder="1" applyAlignment="1">
      <alignment horizontal="center" vertical="center" textRotation="90" wrapText="1"/>
    </xf>
    <xf numFmtId="0" fontId="0" fillId="0" borderId="18" xfId="0" applyFill="1" applyBorder="1" applyAlignment="1"/>
    <xf numFmtId="0" fontId="0" fillId="0" borderId="78" xfId="0" applyFill="1" applyBorder="1" applyAlignment="1"/>
    <xf numFmtId="0" fontId="0" fillId="0" borderId="19" xfId="0" applyFill="1" applyBorder="1" applyAlignment="1"/>
    <xf numFmtId="0" fontId="2" fillId="0" borderId="24" xfId="0" applyFont="1" applyFill="1" applyBorder="1" applyAlignment="1">
      <alignment horizontal="left" vertical="center" wrapText="1"/>
    </xf>
    <xf numFmtId="0" fontId="5" fillId="0" borderId="83" xfId="0" applyFont="1" applyFill="1" applyBorder="1" applyAlignment="1">
      <alignment horizontal="center" vertical="center" textRotation="90" wrapText="1"/>
    </xf>
    <xf numFmtId="0" fontId="5" fillId="0" borderId="18" xfId="0" applyFont="1" applyFill="1" applyBorder="1" applyAlignment="1">
      <alignment horizontal="center" vertical="center" textRotation="90" wrapText="1"/>
    </xf>
    <xf numFmtId="0" fontId="5" fillId="0" borderId="78" xfId="0" applyFont="1" applyFill="1" applyBorder="1" applyAlignment="1">
      <alignment horizontal="center" vertical="center" textRotation="90" wrapText="1"/>
    </xf>
    <xf numFmtId="0" fontId="0" fillId="0" borderId="78" xfId="0" applyFill="1" applyBorder="1" applyAlignment="1">
      <alignment horizontal="center" vertical="center" textRotation="90" wrapText="1"/>
    </xf>
    <xf numFmtId="0" fontId="5" fillId="0" borderId="61" xfId="0" applyFont="1" applyFill="1" applyBorder="1" applyAlignment="1">
      <alignment horizontal="left" vertical="center" wrapText="1"/>
    </xf>
    <xf numFmtId="49" fontId="5" fillId="0" borderId="99" xfId="7" applyNumberFormat="1" applyFont="1" applyFill="1" applyBorder="1" applyAlignment="1">
      <alignment horizontal="left" vertical="top" wrapText="1"/>
    </xf>
    <xf numFmtId="49" fontId="5" fillId="0" borderId="13" xfId="7" applyNumberFormat="1" applyFont="1" applyFill="1" applyBorder="1" applyAlignment="1">
      <alignment horizontal="left" vertical="top" wrapText="1"/>
    </xf>
    <xf numFmtId="49" fontId="5" fillId="0" borderId="17" xfId="7" applyNumberFormat="1" applyFont="1" applyFill="1" applyBorder="1" applyAlignment="1">
      <alignment horizontal="left" vertical="top" wrapText="1"/>
    </xf>
    <xf numFmtId="49" fontId="5" fillId="0" borderId="2" xfId="7" applyNumberFormat="1" applyFont="1" applyFill="1" applyBorder="1" applyAlignment="1">
      <alignment horizontal="left" vertical="top" wrapText="1"/>
    </xf>
    <xf numFmtId="49" fontId="5" fillId="0" borderId="85" xfId="7" applyNumberFormat="1" applyFont="1" applyFill="1" applyBorder="1" applyAlignment="1">
      <alignment horizontal="left" vertical="top" wrapText="1"/>
    </xf>
    <xf numFmtId="49" fontId="5" fillId="0" borderId="24" xfId="7" applyNumberFormat="1" applyFont="1" applyFill="1" applyBorder="1" applyAlignment="1">
      <alignment horizontal="left" vertical="top" wrapText="1"/>
    </xf>
    <xf numFmtId="0" fontId="2" fillId="0" borderId="2" xfId="0" applyFont="1" applyFill="1" applyBorder="1" applyAlignment="1">
      <alignment horizontal="left" vertical="top" wrapText="1"/>
    </xf>
    <xf numFmtId="0" fontId="2" fillId="0" borderId="24" xfId="0" applyFont="1" applyFill="1" applyBorder="1" applyAlignment="1">
      <alignment horizontal="left" vertical="top" wrapText="1"/>
    </xf>
    <xf numFmtId="0" fontId="2" fillId="0" borderId="0" xfId="8" applyFont="1" applyFill="1" applyAlignment="1">
      <alignment horizontal="left" wrapText="1"/>
    </xf>
    <xf numFmtId="0" fontId="10" fillId="0" borderId="36" xfId="0" applyFont="1" applyFill="1" applyBorder="1" applyAlignment="1">
      <alignment horizontal="right" vertical="top"/>
    </xf>
    <xf numFmtId="0" fontId="10" fillId="0" borderId="90" xfId="0" applyFont="1" applyFill="1" applyBorder="1" applyAlignment="1">
      <alignment horizontal="right" vertical="top"/>
    </xf>
    <xf numFmtId="0" fontId="4" fillId="0" borderId="36" xfId="0" applyFont="1" applyFill="1" applyBorder="1" applyAlignment="1">
      <alignment vertical="top"/>
    </xf>
    <xf numFmtId="0" fontId="0" fillId="0" borderId="44" xfId="0" applyFill="1" applyBorder="1" applyAlignment="1">
      <alignment horizontal="center" vertical="center" textRotation="90" wrapText="1"/>
    </xf>
    <xf numFmtId="0" fontId="3" fillId="0" borderId="77" xfId="3" applyFont="1" applyFill="1" applyBorder="1" applyAlignment="1">
      <alignment horizontal="center" vertical="center"/>
    </xf>
    <xf numFmtId="0" fontId="3" fillId="0" borderId="15" xfId="3" applyFont="1" applyFill="1" applyBorder="1" applyAlignment="1">
      <alignment horizontal="center" vertical="center"/>
    </xf>
    <xf numFmtId="0" fontId="3" fillId="0" borderId="74" xfId="3" applyFont="1" applyFill="1" applyBorder="1" applyAlignment="1">
      <alignment horizontal="center" vertical="center"/>
    </xf>
    <xf numFmtId="0" fontId="18" fillId="0" borderId="69" xfId="3" applyFont="1" applyFill="1" applyBorder="1" applyAlignment="1">
      <alignment horizontal="center" vertical="center" wrapText="1"/>
    </xf>
    <xf numFmtId="0" fontId="18" fillId="0" borderId="97" xfId="3" applyFont="1" applyFill="1" applyBorder="1" applyAlignment="1">
      <alignment horizontal="center" vertical="center"/>
    </xf>
    <xf numFmtId="0" fontId="18" fillId="0" borderId="64" xfId="3" applyFont="1" applyFill="1" applyBorder="1" applyAlignment="1">
      <alignment horizontal="center" vertical="center"/>
    </xf>
    <xf numFmtId="0" fontId="18" fillId="0" borderId="65" xfId="3" applyFont="1" applyFill="1" applyBorder="1" applyAlignment="1">
      <alignment horizontal="center" vertical="center"/>
    </xf>
    <xf numFmtId="0" fontId="18" fillId="0" borderId="45" xfId="3" applyFont="1" applyFill="1" applyBorder="1" applyAlignment="1">
      <alignment horizontal="center" vertical="center" textRotation="90" wrapText="1" shrinkToFit="1"/>
    </xf>
    <xf numFmtId="0" fontId="5" fillId="0" borderId="61" xfId="7" applyNumberFormat="1" applyFont="1" applyFill="1" applyBorder="1" applyAlignment="1">
      <alignment horizontal="right" vertical="center" wrapText="1"/>
    </xf>
    <xf numFmtId="49" fontId="5" fillId="0" borderId="13" xfId="7" applyNumberFormat="1" applyFont="1" applyFill="1" applyBorder="1" applyAlignment="1">
      <alignment horizontal="right" vertical="center" wrapText="1"/>
    </xf>
    <xf numFmtId="0" fontId="5" fillId="0" borderId="80" xfId="7" applyNumberFormat="1" applyFont="1" applyFill="1" applyBorder="1" applyAlignment="1">
      <alignment horizontal="right" vertical="center" wrapText="1"/>
    </xf>
    <xf numFmtId="49" fontId="5" fillId="0" borderId="56" xfId="7" applyNumberFormat="1" applyFont="1" applyFill="1" applyBorder="1" applyAlignment="1">
      <alignment horizontal="right" vertical="center" wrapText="1"/>
    </xf>
    <xf numFmtId="165" fontId="0" fillId="0" borderId="61" xfId="0" applyNumberFormat="1" applyFill="1" applyBorder="1" applyAlignment="1">
      <alignment horizontal="right" vertical="center"/>
    </xf>
    <xf numFmtId="0" fontId="0" fillId="0" borderId="12" xfId="0" applyBorder="1" applyAlignment="1">
      <alignment vertical="center"/>
    </xf>
    <xf numFmtId="0" fontId="0" fillId="0" borderId="13" xfId="0" applyFill="1" applyBorder="1" applyAlignment="1">
      <alignment horizontal="left" vertical="center" wrapText="1"/>
    </xf>
    <xf numFmtId="0" fontId="0" fillId="0" borderId="28" xfId="0" applyFill="1" applyBorder="1" applyAlignment="1">
      <alignment horizontal="left" vertical="center" wrapText="1"/>
    </xf>
    <xf numFmtId="0" fontId="0" fillId="0" borderId="12" xfId="0" applyFill="1" applyBorder="1" applyAlignment="1">
      <alignment horizontal="left" vertical="center" wrapText="1"/>
    </xf>
    <xf numFmtId="0" fontId="0" fillId="0" borderId="58" xfId="0" applyFill="1" applyBorder="1" applyAlignment="1">
      <alignment horizontal="left" vertical="center"/>
    </xf>
    <xf numFmtId="0" fontId="0" fillId="0" borderId="85" xfId="0" applyFill="1" applyBorder="1" applyAlignment="1">
      <alignment horizontal="left" vertical="center"/>
    </xf>
    <xf numFmtId="0" fontId="0" fillId="0" borderId="18" xfId="0" applyFill="1" applyBorder="1" applyAlignment="1">
      <alignment horizontal="center" vertical="top" textRotation="90" wrapText="1"/>
    </xf>
    <xf numFmtId="0" fontId="0" fillId="0" borderId="19" xfId="0" applyFill="1" applyBorder="1" applyAlignment="1">
      <alignment horizontal="center" vertical="top" textRotation="90" wrapText="1"/>
    </xf>
    <xf numFmtId="0" fontId="0" fillId="0" borderId="2" xfId="0" applyFill="1" applyBorder="1" applyAlignment="1">
      <alignment horizontal="left" vertical="center"/>
    </xf>
    <xf numFmtId="0" fontId="0" fillId="0" borderId="12" xfId="0" applyFill="1" applyBorder="1" applyAlignment="1">
      <alignment horizontal="left" vertical="center"/>
    </xf>
    <xf numFmtId="0" fontId="10" fillId="0" borderId="75" xfId="0" applyFont="1" applyFill="1" applyBorder="1" applyAlignment="1">
      <alignment vertical="top"/>
    </xf>
    <xf numFmtId="0" fontId="5" fillId="0" borderId="83" xfId="8" applyFont="1" applyFill="1" applyBorder="1" applyAlignment="1">
      <alignment horizontal="center" vertical="top" textRotation="90" wrapText="1"/>
    </xf>
    <xf numFmtId="49" fontId="5" fillId="0" borderId="77" xfId="7" applyNumberFormat="1" applyFont="1" applyFill="1" applyBorder="1" applyAlignment="1">
      <alignment vertical="center"/>
    </xf>
    <xf numFmtId="0" fontId="18" fillId="0" borderId="71" xfId="3" applyFont="1" applyFill="1" applyBorder="1" applyAlignment="1">
      <alignment horizontal="center" vertical="center" textRotation="88" wrapText="1"/>
    </xf>
    <xf numFmtId="0" fontId="18" fillId="0" borderId="61" xfId="3" applyFont="1" applyFill="1" applyBorder="1" applyAlignment="1">
      <alignment horizontal="center" vertical="center" textRotation="88" wrapText="1"/>
    </xf>
    <xf numFmtId="0" fontId="18" fillId="0" borderId="22" xfId="3" applyFont="1" applyFill="1" applyBorder="1" applyAlignment="1">
      <alignment horizontal="center" vertical="center" textRotation="88" wrapText="1"/>
    </xf>
    <xf numFmtId="0" fontId="18" fillId="0" borderId="60" xfId="3" applyFont="1" applyFill="1" applyBorder="1" applyAlignment="1">
      <alignment horizontal="center" vertical="center" textRotation="90" wrapText="1" shrinkToFit="1"/>
    </xf>
    <xf numFmtId="0" fontId="0" fillId="0" borderId="36" xfId="0" applyFill="1" applyBorder="1" applyAlignment="1">
      <alignment horizontal="right" vertical="top"/>
    </xf>
    <xf numFmtId="0" fontId="0" fillId="0" borderId="90" xfId="0" applyFill="1" applyBorder="1" applyAlignment="1">
      <alignment horizontal="right" vertical="top"/>
    </xf>
    <xf numFmtId="49" fontId="5" fillId="0" borderId="77" xfId="7" applyNumberFormat="1" applyFont="1" applyFill="1" applyBorder="1" applyAlignment="1">
      <alignment vertical="center" wrapText="1"/>
    </xf>
    <xf numFmtId="0" fontId="5" fillId="0" borderId="19" xfId="0" applyFont="1" applyFill="1" applyBorder="1" applyAlignment="1">
      <alignment horizontal="center" vertical="center" textRotation="90" wrapText="1"/>
    </xf>
    <xf numFmtId="49" fontId="5" fillId="0" borderId="87" xfId="7" applyNumberFormat="1" applyFont="1" applyFill="1" applyBorder="1" applyAlignment="1">
      <alignment horizontal="left" vertical="center" wrapText="1"/>
    </xf>
    <xf numFmtId="165" fontId="0" fillId="0" borderId="13" xfId="0" applyNumberFormat="1" applyFill="1" applyBorder="1" applyAlignment="1">
      <alignment horizontal="right" vertical="center"/>
    </xf>
    <xf numFmtId="0" fontId="13" fillId="0" borderId="86" xfId="3" applyFont="1" applyFill="1" applyBorder="1" applyAlignment="1">
      <alignment horizontal="right" vertical="top"/>
    </xf>
    <xf numFmtId="0" fontId="10" fillId="0" borderId="46" xfId="0" applyFont="1" applyFill="1" applyBorder="1" applyAlignment="1">
      <alignment vertical="top"/>
    </xf>
    <xf numFmtId="49" fontId="5" fillId="0" borderId="71" xfId="7" applyNumberFormat="1" applyFont="1" applyFill="1" applyBorder="1" applyAlignment="1">
      <alignment vertical="center"/>
    </xf>
    <xf numFmtId="0" fontId="0" fillId="0" borderId="2" xfId="0" applyFill="1" applyBorder="1" applyAlignment="1">
      <alignment horizontal="right" vertical="center"/>
    </xf>
    <xf numFmtId="49" fontId="5" fillId="0" borderId="41" xfId="7" applyNumberFormat="1" applyFont="1" applyFill="1" applyBorder="1" applyAlignment="1">
      <alignment vertical="center"/>
    </xf>
    <xf numFmtId="0" fontId="10" fillId="0" borderId="15" xfId="0" applyFont="1" applyFill="1" applyBorder="1" applyAlignment="1">
      <alignment horizontal="right" vertical="top"/>
    </xf>
    <xf numFmtId="0" fontId="10" fillId="0" borderId="74" xfId="0" applyFont="1" applyFill="1" applyBorder="1" applyAlignment="1">
      <alignment horizontal="right" vertical="top"/>
    </xf>
    <xf numFmtId="165" fontId="5" fillId="0" borderId="71" xfId="7" applyNumberFormat="1" applyFont="1" applyFill="1" applyBorder="1" applyAlignment="1">
      <alignment horizontal="right" vertical="center" wrapText="1"/>
    </xf>
    <xf numFmtId="165" fontId="5" fillId="0" borderId="61" xfId="7" applyNumberFormat="1" applyFont="1" applyFill="1" applyBorder="1" applyAlignment="1">
      <alignment horizontal="right" vertical="center" wrapText="1"/>
    </xf>
    <xf numFmtId="165" fontId="5" fillId="0" borderId="22" xfId="7" applyNumberFormat="1" applyFont="1" applyFill="1" applyBorder="1" applyAlignment="1">
      <alignment horizontal="right" vertical="center" wrapText="1"/>
    </xf>
    <xf numFmtId="1" fontId="5" fillId="4" borderId="71" xfId="7" applyNumberFormat="1" applyFont="1" applyFill="1" applyBorder="1" applyAlignment="1">
      <alignment vertical="center"/>
    </xf>
    <xf numFmtId="1" fontId="5" fillId="4" borderId="79" xfId="7" applyNumberFormat="1" applyFont="1" applyFill="1" applyBorder="1" applyAlignment="1">
      <alignment vertical="center"/>
    </xf>
    <xf numFmtId="0" fontId="1" fillId="0" borderId="24" xfId="0" applyFont="1" applyFill="1" applyBorder="1" applyAlignment="1">
      <alignment horizontal="right" vertical="center"/>
    </xf>
    <xf numFmtId="0" fontId="1" fillId="0" borderId="24" xfId="0" applyFont="1" applyBorder="1" applyAlignment="1">
      <alignment horizontal="right" vertical="center"/>
    </xf>
    <xf numFmtId="165" fontId="5" fillId="0" borderId="30" xfId="7" applyNumberFormat="1" applyFont="1" applyFill="1" applyBorder="1" applyAlignment="1">
      <alignment vertical="center"/>
    </xf>
    <xf numFmtId="0" fontId="0" fillId="0" borderId="39" xfId="0" applyBorder="1" applyAlignment="1">
      <alignment vertical="center"/>
    </xf>
    <xf numFmtId="0" fontId="4" fillId="0" borderId="15" xfId="0" applyFont="1" applyFill="1" applyBorder="1" applyAlignment="1">
      <alignment vertical="top"/>
    </xf>
    <xf numFmtId="0" fontId="5" fillId="0" borderId="18" xfId="0" applyFont="1" applyFill="1" applyBorder="1" applyAlignment="1">
      <alignment horizontal="center" vertical="top" textRotation="90" wrapText="1"/>
    </xf>
    <xf numFmtId="0" fontId="5" fillId="0" borderId="19" xfId="0" applyFont="1" applyFill="1" applyBorder="1" applyAlignment="1">
      <alignment horizontal="center" vertical="top" textRotation="90" wrapText="1"/>
    </xf>
    <xf numFmtId="0" fontId="4" fillId="0" borderId="90" xfId="0" applyFont="1" applyFill="1" applyBorder="1" applyAlignment="1">
      <alignment vertical="top"/>
    </xf>
    <xf numFmtId="0" fontId="9" fillId="0" borderId="82"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2" borderId="58" xfId="0" applyFont="1" applyFill="1" applyBorder="1" applyAlignment="1">
      <alignment vertical="center" wrapText="1"/>
    </xf>
    <xf numFmtId="0" fontId="9" fillId="2" borderId="2" xfId="0" applyFont="1" applyFill="1" applyBorder="1" applyAlignment="1">
      <alignment vertical="center" wrapText="1"/>
    </xf>
    <xf numFmtId="0" fontId="9" fillId="2" borderId="83" xfId="0" applyFont="1" applyFill="1" applyBorder="1" applyAlignment="1">
      <alignment horizontal="left" vertical="center" wrapText="1"/>
    </xf>
    <xf numFmtId="0" fontId="9" fillId="2" borderId="18" xfId="0" applyFont="1" applyFill="1" applyBorder="1" applyAlignment="1">
      <alignment horizontal="left" vertical="center" wrapText="1"/>
    </xf>
    <xf numFmtId="0" fontId="9" fillId="2" borderId="20" xfId="0" applyFont="1" applyFill="1" applyBorder="1" applyAlignment="1">
      <alignment horizontal="left" vertical="center" wrapText="1"/>
    </xf>
    <xf numFmtId="0" fontId="9" fillId="2" borderId="58"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59"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0" borderId="71" xfId="0" applyFont="1" applyFill="1" applyBorder="1" applyAlignment="1">
      <alignment horizontal="center" vertical="center" wrapText="1"/>
    </xf>
    <xf numFmtId="0" fontId="16" fillId="0" borderId="61" xfId="0" applyFont="1" applyFill="1" applyBorder="1" applyAlignment="1">
      <alignment horizontal="center" vertical="center" wrapText="1"/>
    </xf>
    <xf numFmtId="0" fontId="16" fillId="0" borderId="13" xfId="0" applyFont="1" applyFill="1" applyBorder="1" applyAlignment="1">
      <alignment horizontal="center" vertical="center" wrapText="1"/>
    </xf>
    <xf numFmtId="165" fontId="2" fillId="0" borderId="0" xfId="8" applyNumberFormat="1" applyFont="1" applyAlignment="1">
      <alignment horizontal="center"/>
    </xf>
  </cellXfs>
  <cellStyles count="15">
    <cellStyle name="Excel Built-in Normal" xfId="1"/>
    <cellStyle name="Įprastas" xfId="0" builtinId="0"/>
    <cellStyle name="Įprastas 2" xfId="2"/>
    <cellStyle name="Įprastas 2 2" xfId="3"/>
    <cellStyle name="Įprastas 3" xfId="4"/>
    <cellStyle name="Įprastas 5" xfId="5"/>
    <cellStyle name="Kablelis" xfId="6" builtinId="3"/>
    <cellStyle name="Normal_1234LENT" xfId="7"/>
    <cellStyle name="Normal_7oji" xfId="8"/>
    <cellStyle name="Paprastas_Knyga6" xfId="9"/>
    <cellStyle name="Procentai" xfId="10" builtinId="5"/>
    <cellStyle name="Procentai 2" xfId="11"/>
    <cellStyle name="Procentai 3" xfId="12"/>
    <cellStyle name="Procentai 3 2" xfId="13"/>
    <cellStyle name="Procentinė reikšmė_Lapas2" xfId="1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editAs="absolute">
    <xdr:from>
      <xdr:col>1</xdr:col>
      <xdr:colOff>276225</xdr:colOff>
      <xdr:row>100</xdr:row>
      <xdr:rowOff>266700</xdr:rowOff>
    </xdr:from>
    <xdr:to>
      <xdr:col>3</xdr:col>
      <xdr:colOff>314325</xdr:colOff>
      <xdr:row>102</xdr:row>
      <xdr:rowOff>219075</xdr:rowOff>
    </xdr:to>
    <xdr:sp macro="" textlink="">
      <xdr:nvSpPr>
        <xdr:cNvPr id="42765" name="Text Box 37" hidden="1">
          <a:extLst>
            <a:ext uri="{FF2B5EF4-FFF2-40B4-BE49-F238E27FC236}">
              <a16:creationId xmlns:a16="http://schemas.microsoft.com/office/drawing/2014/main" xmlns="" id="{00000000-0008-0000-0600-00000DA70000}"/>
            </a:ext>
          </a:extLst>
        </xdr:cNvPr>
        <xdr:cNvSpPr txBox="1">
          <a:spLocks noChangeArrowheads="1"/>
        </xdr:cNvSpPr>
      </xdr:nvSpPr>
      <xdr:spPr bwMode="auto">
        <a:xfrm>
          <a:off x="723900" y="21478875"/>
          <a:ext cx="1209675" cy="70485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xdr:spPr>
    </xdr:sp>
    <xdr:clientData/>
  </xdr:twoCellAnchor>
</xdr:wsDr>
</file>

<file path=xl/drawings/drawing2.xml><?xml version="1.0" encoding="utf-8"?>
<xdr:wsDr xmlns:xdr="http://schemas.openxmlformats.org/drawingml/2006/spreadsheetDrawing" xmlns:a="http://schemas.openxmlformats.org/drawingml/2006/main">
  <xdr:oneCellAnchor>
    <xdr:from>
      <xdr:col>9</xdr:col>
      <xdr:colOff>196215</xdr:colOff>
      <xdr:row>116</xdr:row>
      <xdr:rowOff>0</xdr:rowOff>
    </xdr:from>
    <xdr:ext cx="184731" cy="264560"/>
    <xdr:sp macro="" textlink="">
      <xdr:nvSpPr>
        <xdr:cNvPr id="2" name="TextBox 1">
          <a:extLst>
            <a:ext uri="{FF2B5EF4-FFF2-40B4-BE49-F238E27FC236}">
              <a16:creationId xmlns:a16="http://schemas.microsoft.com/office/drawing/2014/main" xmlns="" id="{00000000-0008-0000-0700-000002000000}"/>
            </a:ext>
          </a:extLst>
        </xdr:cNvPr>
        <xdr:cNvSpPr txBox="1"/>
      </xdr:nvSpPr>
      <xdr:spPr>
        <a:xfrm>
          <a:off x="2898091" y="280083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lt-LT"/>
        </a:p>
      </xdr:txBody>
    </xdr:sp>
    <xdr:clientData/>
  </xdr:one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221"/>
  <sheetViews>
    <sheetView topLeftCell="A191" zoomScaleNormal="100" zoomScaleSheetLayoutView="100" workbookViewId="0">
      <selection activeCell="K217" sqref="K217"/>
    </sheetView>
  </sheetViews>
  <sheetFormatPr defaultColWidth="7.85546875" defaultRowHeight="12.75"/>
  <cols>
    <col min="1" max="1" width="7.5703125" style="39" customWidth="1"/>
    <col min="2" max="2" width="10.42578125" style="2" customWidth="1"/>
    <col min="3" max="5" width="9.5703125" style="2" customWidth="1"/>
    <col min="6" max="6" width="21" style="2" customWidth="1"/>
    <col min="7" max="7" width="8.7109375" style="8" customWidth="1"/>
    <col min="8" max="8" width="8.7109375" style="2" customWidth="1"/>
    <col min="9" max="10" width="8.7109375" style="3" customWidth="1"/>
    <col min="11" max="11" width="31.42578125" style="3" customWidth="1"/>
    <col min="12" max="12" width="7.5703125" style="273" customWidth="1"/>
    <col min="13" max="14" width="6.5703125" style="273" customWidth="1"/>
    <col min="15" max="16384" width="7.85546875" style="3"/>
  </cols>
  <sheetData>
    <row r="1" spans="1:14" ht="15.75" customHeight="1">
      <c r="A1" s="73" t="s">
        <v>463</v>
      </c>
      <c r="B1" s="70"/>
      <c r="C1" s="70"/>
      <c r="D1" s="70"/>
      <c r="E1" s="70"/>
      <c r="F1" s="70"/>
      <c r="G1" s="70"/>
      <c r="H1" s="70"/>
      <c r="I1" s="70"/>
      <c r="J1" s="70"/>
      <c r="K1" s="3" t="s">
        <v>464</v>
      </c>
      <c r="M1" s="274"/>
      <c r="N1" s="274"/>
    </row>
    <row r="2" spans="1:14" ht="15.75" customHeight="1">
      <c r="A2" s="72" t="s">
        <v>109</v>
      </c>
      <c r="B2" s="71"/>
      <c r="C2" s="71"/>
      <c r="D2" s="71"/>
      <c r="E2" s="71"/>
      <c r="F2" s="71"/>
      <c r="G2" s="71"/>
      <c r="H2" s="71"/>
      <c r="I2" s="71"/>
      <c r="J2" s="71"/>
      <c r="K2" s="3" t="s">
        <v>107</v>
      </c>
      <c r="M2" s="275"/>
      <c r="N2" s="275"/>
    </row>
    <row r="3" spans="1:14" ht="15.75">
      <c r="A3" s="67" t="s">
        <v>117</v>
      </c>
      <c r="B3" s="67"/>
      <c r="C3" s="67"/>
      <c r="D3" s="67"/>
      <c r="E3" s="67"/>
      <c r="F3" s="67"/>
      <c r="G3" s="67"/>
      <c r="H3" s="67"/>
      <c r="I3" s="67"/>
      <c r="J3" s="67"/>
      <c r="K3" s="3" t="s">
        <v>108</v>
      </c>
      <c r="M3" s="276"/>
      <c r="N3" s="276"/>
    </row>
    <row r="4" spans="1:14" ht="13.5" customHeight="1" thickBot="1">
      <c r="A4" s="4"/>
      <c r="B4" s="4"/>
      <c r="C4" s="4"/>
      <c r="D4" s="4"/>
      <c r="E4" s="4"/>
      <c r="F4" s="4"/>
      <c r="G4" s="9"/>
      <c r="H4" s="4"/>
      <c r="I4" s="4"/>
      <c r="J4" s="4"/>
      <c r="K4" s="3" t="s">
        <v>78</v>
      </c>
      <c r="M4" s="124"/>
    </row>
    <row r="5" spans="1:14" ht="29.25" customHeight="1">
      <c r="A5" s="1274" t="s">
        <v>110</v>
      </c>
      <c r="B5" s="1251" t="s">
        <v>111</v>
      </c>
      <c r="C5" s="1251" t="s">
        <v>112</v>
      </c>
      <c r="D5" s="1277" t="s">
        <v>47</v>
      </c>
      <c r="E5" s="1280" t="s">
        <v>113</v>
      </c>
      <c r="F5" s="1251" t="s">
        <v>14</v>
      </c>
      <c r="G5" s="1257" t="s">
        <v>114</v>
      </c>
      <c r="H5" s="1251" t="s">
        <v>814</v>
      </c>
      <c r="I5" s="1254" t="s">
        <v>815</v>
      </c>
      <c r="J5" s="1248" t="s">
        <v>816</v>
      </c>
      <c r="K5" s="1240" t="s">
        <v>115</v>
      </c>
      <c r="L5" s="1241"/>
      <c r="M5" s="1241"/>
      <c r="N5" s="1242"/>
    </row>
    <row r="6" spans="1:14" ht="26.25" customHeight="1">
      <c r="A6" s="1275"/>
      <c r="B6" s="1252"/>
      <c r="C6" s="1252"/>
      <c r="D6" s="1278"/>
      <c r="E6" s="1281"/>
      <c r="F6" s="1252"/>
      <c r="G6" s="1258"/>
      <c r="H6" s="1252"/>
      <c r="I6" s="1255"/>
      <c r="J6" s="1249"/>
      <c r="K6" s="1243" t="s">
        <v>47</v>
      </c>
      <c r="L6" s="1245" t="s">
        <v>116</v>
      </c>
      <c r="M6" s="1246"/>
      <c r="N6" s="1247"/>
    </row>
    <row r="7" spans="1:14" ht="118.5" customHeight="1" thickBot="1">
      <c r="A7" s="1276"/>
      <c r="B7" s="1253"/>
      <c r="C7" s="1253"/>
      <c r="D7" s="1279"/>
      <c r="E7" s="1282"/>
      <c r="F7" s="1253"/>
      <c r="G7" s="1259"/>
      <c r="H7" s="1253"/>
      <c r="I7" s="1256"/>
      <c r="J7" s="1250"/>
      <c r="K7" s="1244"/>
      <c r="L7" s="125" t="s">
        <v>138</v>
      </c>
      <c r="M7" s="125" t="s">
        <v>256</v>
      </c>
      <c r="N7" s="126" t="s">
        <v>452</v>
      </c>
    </row>
    <row r="8" spans="1:14" ht="12" customHeight="1">
      <c r="A8" s="1283" t="s">
        <v>98</v>
      </c>
      <c r="B8" s="1313" t="s">
        <v>137</v>
      </c>
      <c r="C8" s="1156" t="s">
        <v>100</v>
      </c>
      <c r="D8" s="1157"/>
      <c r="E8" s="1158"/>
      <c r="F8" s="132" t="s">
        <v>214</v>
      </c>
      <c r="G8" s="621" t="s">
        <v>135</v>
      </c>
      <c r="H8" s="538">
        <v>355.6</v>
      </c>
      <c r="I8" s="538">
        <f>H8*1.006</f>
        <v>357.73360000000002</v>
      </c>
      <c r="J8" s="538">
        <f>I8*1.006</f>
        <v>359.88000160000001</v>
      </c>
      <c r="K8" s="133" t="s">
        <v>242</v>
      </c>
      <c r="L8" s="552">
        <v>340</v>
      </c>
      <c r="M8" s="622">
        <v>390</v>
      </c>
      <c r="N8" s="623">
        <v>390</v>
      </c>
    </row>
    <row r="9" spans="1:14" ht="12" customHeight="1">
      <c r="A9" s="1284"/>
      <c r="B9" s="1314"/>
      <c r="C9" s="1235"/>
      <c r="D9" s="1260"/>
      <c r="E9" s="1237"/>
      <c r="F9" s="99" t="s">
        <v>198</v>
      </c>
      <c r="G9" s="624" t="s">
        <v>135</v>
      </c>
      <c r="H9" s="616">
        <v>770</v>
      </c>
      <c r="I9" s="616">
        <f t="shared" ref="I9:J25" si="0">H9*1.006</f>
        <v>774.62</v>
      </c>
      <c r="J9" s="616">
        <f t="shared" si="0"/>
        <v>779.26772000000005</v>
      </c>
      <c r="K9" s="98" t="s">
        <v>242</v>
      </c>
      <c r="L9" s="625">
        <v>556</v>
      </c>
      <c r="M9" s="625">
        <v>580</v>
      </c>
      <c r="N9" s="626">
        <v>600</v>
      </c>
    </row>
    <row r="10" spans="1:14" ht="12" customHeight="1">
      <c r="A10" s="1284"/>
      <c r="B10" s="1314"/>
      <c r="C10" s="1235"/>
      <c r="D10" s="1260"/>
      <c r="E10" s="1237"/>
      <c r="F10" s="99" t="s">
        <v>199</v>
      </c>
      <c r="G10" s="624" t="s">
        <v>135</v>
      </c>
      <c r="H10" s="616">
        <v>860.9</v>
      </c>
      <c r="I10" s="616">
        <f t="shared" si="0"/>
        <v>866.06539999999995</v>
      </c>
      <c r="J10" s="616">
        <f t="shared" si="0"/>
        <v>871.26179239999999</v>
      </c>
      <c r="K10" s="98" t="s">
        <v>242</v>
      </c>
      <c r="L10" s="625">
        <v>594</v>
      </c>
      <c r="M10" s="625">
        <v>570</v>
      </c>
      <c r="N10" s="626">
        <v>570</v>
      </c>
    </row>
    <row r="11" spans="1:14" ht="12" customHeight="1">
      <c r="A11" s="1284"/>
      <c r="B11" s="1314"/>
      <c r="C11" s="1235"/>
      <c r="D11" s="1260"/>
      <c r="E11" s="1237"/>
      <c r="F11" s="97" t="s">
        <v>201</v>
      </c>
      <c r="G11" s="624" t="s">
        <v>135</v>
      </c>
      <c r="H11" s="616">
        <v>728.2</v>
      </c>
      <c r="I11" s="616">
        <f t="shared" si="0"/>
        <v>732.56920000000002</v>
      </c>
      <c r="J11" s="616">
        <f t="shared" si="0"/>
        <v>736.96461520000003</v>
      </c>
      <c r="K11" s="98" t="s">
        <v>242</v>
      </c>
      <c r="L11" s="625">
        <v>649</v>
      </c>
      <c r="M11" s="625">
        <v>650</v>
      </c>
      <c r="N11" s="626">
        <v>650</v>
      </c>
    </row>
    <row r="12" spans="1:14" ht="12" customHeight="1">
      <c r="A12" s="1284"/>
      <c r="B12" s="1314"/>
      <c r="C12" s="1235"/>
      <c r="D12" s="1260"/>
      <c r="E12" s="1237"/>
      <c r="F12" s="97" t="s">
        <v>200</v>
      </c>
      <c r="G12" s="624" t="s">
        <v>135</v>
      </c>
      <c r="H12" s="617">
        <v>876.4</v>
      </c>
      <c r="I12" s="616">
        <f t="shared" si="0"/>
        <v>881.65840000000003</v>
      </c>
      <c r="J12" s="616">
        <f t="shared" si="0"/>
        <v>886.94835039999998</v>
      </c>
      <c r="K12" s="98" t="s">
        <v>242</v>
      </c>
      <c r="L12" s="625">
        <v>783</v>
      </c>
      <c r="M12" s="625">
        <v>800</v>
      </c>
      <c r="N12" s="626">
        <v>800</v>
      </c>
    </row>
    <row r="13" spans="1:14" s="7" customFormat="1" ht="12" customHeight="1">
      <c r="A13" s="1284"/>
      <c r="B13" s="1314"/>
      <c r="C13" s="1235"/>
      <c r="D13" s="1260"/>
      <c r="E13" s="1237"/>
      <c r="F13" s="97" t="s">
        <v>243</v>
      </c>
      <c r="G13" s="624" t="s">
        <v>135</v>
      </c>
      <c r="H13" s="617">
        <v>376.8</v>
      </c>
      <c r="I13" s="616">
        <f t="shared" si="0"/>
        <v>379.06080000000003</v>
      </c>
      <c r="J13" s="616">
        <f t="shared" si="0"/>
        <v>381.33516480000003</v>
      </c>
      <c r="K13" s="98" t="s">
        <v>242</v>
      </c>
      <c r="L13" s="625">
        <v>242</v>
      </c>
      <c r="M13" s="625">
        <v>240</v>
      </c>
      <c r="N13" s="626">
        <v>250</v>
      </c>
    </row>
    <row r="14" spans="1:14" s="7" customFormat="1" ht="12" customHeight="1">
      <c r="A14" s="1284"/>
      <c r="B14" s="1314"/>
      <c r="C14" s="1235"/>
      <c r="D14" s="1260"/>
      <c r="E14" s="1237"/>
      <c r="F14" s="97" t="s">
        <v>244</v>
      </c>
      <c r="G14" s="624" t="s">
        <v>135</v>
      </c>
      <c r="H14" s="617">
        <v>530.6</v>
      </c>
      <c r="I14" s="616">
        <f t="shared" si="0"/>
        <v>533.78359999999998</v>
      </c>
      <c r="J14" s="616">
        <f t="shared" si="0"/>
        <v>536.98630159999993</v>
      </c>
      <c r="K14" s="98" t="s">
        <v>242</v>
      </c>
      <c r="L14" s="625">
        <v>403</v>
      </c>
      <c r="M14" s="625">
        <v>456</v>
      </c>
      <c r="N14" s="626">
        <v>463</v>
      </c>
    </row>
    <row r="15" spans="1:14" s="10" customFormat="1" ht="12" customHeight="1">
      <c r="A15" s="1284"/>
      <c r="B15" s="1314"/>
      <c r="C15" s="1235"/>
      <c r="D15" s="1260"/>
      <c r="E15" s="1237"/>
      <c r="F15" s="99" t="s">
        <v>245</v>
      </c>
      <c r="G15" s="624" t="s">
        <v>135</v>
      </c>
      <c r="H15" s="617">
        <v>312.2</v>
      </c>
      <c r="I15" s="616">
        <f t="shared" si="0"/>
        <v>314.07319999999999</v>
      </c>
      <c r="J15" s="616">
        <f t="shared" si="0"/>
        <v>315.95763919999996</v>
      </c>
      <c r="K15" s="98" t="s">
        <v>242</v>
      </c>
      <c r="L15" s="625">
        <v>169</v>
      </c>
      <c r="M15" s="625">
        <v>177</v>
      </c>
      <c r="N15" s="626">
        <v>180</v>
      </c>
    </row>
    <row r="16" spans="1:14" s="7" customFormat="1" ht="12" customHeight="1">
      <c r="A16" s="1284"/>
      <c r="B16" s="1314"/>
      <c r="C16" s="1235"/>
      <c r="D16" s="1260"/>
      <c r="E16" s="1237"/>
      <c r="F16" s="97" t="s">
        <v>246</v>
      </c>
      <c r="G16" s="624" t="s">
        <v>135</v>
      </c>
      <c r="H16" s="617">
        <v>199.1</v>
      </c>
      <c r="I16" s="616">
        <f t="shared" si="0"/>
        <v>200.2946</v>
      </c>
      <c r="J16" s="616">
        <f t="shared" si="0"/>
        <v>201.49636760000001</v>
      </c>
      <c r="K16" s="98" t="s">
        <v>242</v>
      </c>
      <c r="L16" s="625">
        <v>79</v>
      </c>
      <c r="M16" s="625">
        <v>75</v>
      </c>
      <c r="N16" s="626">
        <v>75</v>
      </c>
    </row>
    <row r="17" spans="1:14" s="7" customFormat="1" ht="12" customHeight="1">
      <c r="A17" s="1284"/>
      <c r="B17" s="1314"/>
      <c r="C17" s="1235"/>
      <c r="D17" s="1260"/>
      <c r="E17" s="1237"/>
      <c r="F17" s="123" t="s">
        <v>247</v>
      </c>
      <c r="G17" s="624" t="s">
        <v>135</v>
      </c>
      <c r="H17" s="616">
        <v>235.6</v>
      </c>
      <c r="I17" s="616">
        <f t="shared" si="0"/>
        <v>237.0136</v>
      </c>
      <c r="J17" s="616">
        <f t="shared" si="0"/>
        <v>238.43568160000001</v>
      </c>
      <c r="K17" s="98" t="s">
        <v>242</v>
      </c>
      <c r="L17" s="625">
        <v>106</v>
      </c>
      <c r="M17" s="625">
        <v>100</v>
      </c>
      <c r="N17" s="626">
        <v>95</v>
      </c>
    </row>
    <row r="18" spans="1:14" s="7" customFormat="1" ht="12" customHeight="1">
      <c r="A18" s="1284"/>
      <c r="B18" s="1314"/>
      <c r="C18" s="1235"/>
      <c r="D18" s="1260"/>
      <c r="E18" s="1237"/>
      <c r="F18" s="123" t="s">
        <v>248</v>
      </c>
      <c r="G18" s="624" t="s">
        <v>135</v>
      </c>
      <c r="H18" s="616">
        <v>182.1</v>
      </c>
      <c r="I18" s="616">
        <f t="shared" si="0"/>
        <v>183.1926</v>
      </c>
      <c r="J18" s="616">
        <f t="shared" si="0"/>
        <v>184.29175559999999</v>
      </c>
      <c r="K18" s="98" t="s">
        <v>242</v>
      </c>
      <c r="L18" s="625">
        <v>75</v>
      </c>
      <c r="M18" s="625">
        <v>75</v>
      </c>
      <c r="N18" s="626">
        <v>75</v>
      </c>
    </row>
    <row r="19" spans="1:14" s="7" customFormat="1" ht="12" customHeight="1">
      <c r="A19" s="1284"/>
      <c r="B19" s="1314"/>
      <c r="C19" s="1235"/>
      <c r="D19" s="1260"/>
      <c r="E19" s="1237"/>
      <c r="F19" s="627" t="s">
        <v>249</v>
      </c>
      <c r="G19" s="624" t="s">
        <v>135</v>
      </c>
      <c r="H19" s="616">
        <v>573.6</v>
      </c>
      <c r="I19" s="616">
        <f t="shared" si="0"/>
        <v>577.04160000000002</v>
      </c>
      <c r="J19" s="616">
        <f t="shared" si="0"/>
        <v>580.50384959999997</v>
      </c>
      <c r="K19" s="98" t="s">
        <v>242</v>
      </c>
      <c r="L19" s="625">
        <v>446</v>
      </c>
      <c r="M19" s="625">
        <v>450</v>
      </c>
      <c r="N19" s="626">
        <v>450</v>
      </c>
    </row>
    <row r="20" spans="1:14" s="7" customFormat="1" ht="12" customHeight="1">
      <c r="A20" s="1284"/>
      <c r="B20" s="1314"/>
      <c r="C20" s="1235"/>
      <c r="D20" s="1260"/>
      <c r="E20" s="1237"/>
      <c r="F20" s="97" t="s">
        <v>173</v>
      </c>
      <c r="G20" s="624" t="s">
        <v>135</v>
      </c>
      <c r="H20" s="618">
        <v>250.2</v>
      </c>
      <c r="I20" s="616">
        <f t="shared" si="0"/>
        <v>251.7012</v>
      </c>
      <c r="J20" s="616">
        <f t="shared" si="0"/>
        <v>253.2114072</v>
      </c>
      <c r="K20" s="98" t="s">
        <v>242</v>
      </c>
      <c r="L20" s="625">
        <v>123</v>
      </c>
      <c r="M20" s="625">
        <v>133</v>
      </c>
      <c r="N20" s="626">
        <v>133</v>
      </c>
    </row>
    <row r="21" spans="1:14" s="7" customFormat="1" ht="12" customHeight="1">
      <c r="A21" s="1284"/>
      <c r="B21" s="1314"/>
      <c r="C21" s="1235"/>
      <c r="D21" s="1260"/>
      <c r="E21" s="1237"/>
      <c r="F21" s="97" t="s">
        <v>277</v>
      </c>
      <c r="G21" s="624" t="s">
        <v>135</v>
      </c>
      <c r="H21" s="619">
        <v>161.1</v>
      </c>
      <c r="I21" s="616">
        <f t="shared" si="0"/>
        <v>162.06659999999999</v>
      </c>
      <c r="J21" s="616">
        <f t="shared" si="0"/>
        <v>163.03899959999998</v>
      </c>
      <c r="K21" s="98" t="s">
        <v>242</v>
      </c>
      <c r="L21" s="625">
        <v>69</v>
      </c>
      <c r="M21" s="625">
        <v>42</v>
      </c>
      <c r="N21" s="626">
        <v>41</v>
      </c>
    </row>
    <row r="22" spans="1:14" s="7" customFormat="1" ht="12" customHeight="1">
      <c r="A22" s="1284"/>
      <c r="B22" s="1314"/>
      <c r="C22" s="1235"/>
      <c r="D22" s="1260"/>
      <c r="E22" s="1237"/>
      <c r="F22" s="97" t="s">
        <v>251</v>
      </c>
      <c r="G22" s="624" t="s">
        <v>135</v>
      </c>
      <c r="H22" s="619">
        <v>257.3</v>
      </c>
      <c r="I22" s="616">
        <f t="shared" si="0"/>
        <v>258.84379999999999</v>
      </c>
      <c r="J22" s="616">
        <f t="shared" si="0"/>
        <v>260.39686280000001</v>
      </c>
      <c r="K22" s="98" t="s">
        <v>242</v>
      </c>
      <c r="L22" s="625">
        <v>130</v>
      </c>
      <c r="M22" s="625">
        <v>120</v>
      </c>
      <c r="N22" s="626">
        <v>110</v>
      </c>
    </row>
    <row r="23" spans="1:14" s="7" customFormat="1" ht="12" customHeight="1">
      <c r="A23" s="1284"/>
      <c r="B23" s="1314"/>
      <c r="C23" s="1235"/>
      <c r="D23" s="1260"/>
      <c r="E23" s="1237"/>
      <c r="F23" s="97" t="s">
        <v>252</v>
      </c>
      <c r="G23" s="624" t="s">
        <v>135</v>
      </c>
      <c r="H23" s="619">
        <v>205.2</v>
      </c>
      <c r="I23" s="616">
        <f t="shared" si="0"/>
        <v>206.43119999999999</v>
      </c>
      <c r="J23" s="616">
        <f t="shared" si="0"/>
        <v>207.6697872</v>
      </c>
      <c r="K23" s="98" t="s">
        <v>242</v>
      </c>
      <c r="L23" s="625">
        <v>84</v>
      </c>
      <c r="M23" s="625">
        <v>90</v>
      </c>
      <c r="N23" s="626">
        <v>90</v>
      </c>
    </row>
    <row r="24" spans="1:14" s="7" customFormat="1" ht="12" customHeight="1">
      <c r="A24" s="1284"/>
      <c r="B24" s="1314"/>
      <c r="C24" s="1235"/>
      <c r="D24" s="1260"/>
      <c r="E24" s="1237"/>
      <c r="F24" s="97" t="s">
        <v>253</v>
      </c>
      <c r="G24" s="624" t="s">
        <v>135</v>
      </c>
      <c r="H24" s="619">
        <v>260.89999999999998</v>
      </c>
      <c r="I24" s="616">
        <f t="shared" si="0"/>
        <v>262.46539999999999</v>
      </c>
      <c r="J24" s="616">
        <f t="shared" si="0"/>
        <v>264.04019239999997</v>
      </c>
      <c r="K24" s="98" t="s">
        <v>242</v>
      </c>
      <c r="L24" s="625">
        <v>209</v>
      </c>
      <c r="M24" s="625">
        <v>260</v>
      </c>
      <c r="N24" s="626">
        <v>260</v>
      </c>
    </row>
    <row r="25" spans="1:14" s="7" customFormat="1" ht="12" customHeight="1">
      <c r="A25" s="1284"/>
      <c r="B25" s="1314"/>
      <c r="C25" s="1235"/>
      <c r="D25" s="1260"/>
      <c r="E25" s="1237"/>
      <c r="F25" s="97" t="s">
        <v>254</v>
      </c>
      <c r="G25" s="624" t="s">
        <v>135</v>
      </c>
      <c r="H25" s="619">
        <v>313.60000000000002</v>
      </c>
      <c r="I25" s="616">
        <f t="shared" si="0"/>
        <v>315.48160000000001</v>
      </c>
      <c r="J25" s="616">
        <f t="shared" si="0"/>
        <v>317.3744896</v>
      </c>
      <c r="K25" s="98" t="s">
        <v>242</v>
      </c>
      <c r="L25" s="625">
        <v>275</v>
      </c>
      <c r="M25" s="625">
        <v>300</v>
      </c>
      <c r="N25" s="626">
        <v>300</v>
      </c>
    </row>
    <row r="26" spans="1:14" s="7" customFormat="1" ht="12" customHeight="1" thickBot="1">
      <c r="A26" s="1284"/>
      <c r="B26" s="1314"/>
      <c r="C26" s="1235"/>
      <c r="D26" s="1260"/>
      <c r="E26" s="1237"/>
      <c r="F26" s="97" t="s">
        <v>255</v>
      </c>
      <c r="G26" s="624" t="s">
        <v>135</v>
      </c>
      <c r="H26" s="620">
        <v>346</v>
      </c>
      <c r="I26" s="562">
        <v>0</v>
      </c>
      <c r="J26" s="562">
        <v>0</v>
      </c>
      <c r="K26" s="98" t="s">
        <v>242</v>
      </c>
      <c r="L26" s="625">
        <v>53</v>
      </c>
      <c r="M26" s="625">
        <v>0</v>
      </c>
      <c r="N26" s="626">
        <v>0</v>
      </c>
    </row>
    <row r="27" spans="1:14" s="7" customFormat="1" ht="12" customHeight="1" thickBot="1">
      <c r="A27" s="1284"/>
      <c r="B27" s="1314"/>
      <c r="C27" s="1153" t="s">
        <v>118</v>
      </c>
      <c r="D27" s="1305"/>
      <c r="E27" s="1305"/>
      <c r="F27" s="1305"/>
      <c r="G27" s="1305"/>
      <c r="H27" s="159">
        <f>SUM(H8:H26)</f>
        <v>7795.4000000000015</v>
      </c>
      <c r="I27" s="134">
        <f>SUM(I8:I26)</f>
        <v>7494.0964000000013</v>
      </c>
      <c r="J27" s="184">
        <f>SUM(J8:J26)</f>
        <v>7539.0609784000007</v>
      </c>
      <c r="K27" s="147" t="s">
        <v>308</v>
      </c>
      <c r="L27" s="277">
        <f>SUM(L8:L26)</f>
        <v>5385</v>
      </c>
      <c r="M27" s="277">
        <f>SUM(M8:M26)</f>
        <v>5508</v>
      </c>
      <c r="N27" s="278">
        <f>SUM(N8:N26)</f>
        <v>5532</v>
      </c>
    </row>
    <row r="28" spans="1:14" s="7" customFormat="1" ht="10.5" customHeight="1">
      <c r="A28" s="1284"/>
      <c r="B28" s="1314"/>
      <c r="C28" s="1156" t="s">
        <v>97</v>
      </c>
      <c r="D28" s="1157"/>
      <c r="E28" s="1158"/>
      <c r="F28" s="133" t="s">
        <v>214</v>
      </c>
      <c r="G28" s="146" t="s">
        <v>121</v>
      </c>
      <c r="H28" s="628">
        <f>539.8-355.6-12</f>
        <v>172.19999999999993</v>
      </c>
      <c r="I28" s="539">
        <f>H28*1.006</f>
        <v>173.23319999999993</v>
      </c>
      <c r="J28" s="539">
        <f>I28*1.006</f>
        <v>174.27259919999992</v>
      </c>
      <c r="K28" s="133" t="s">
        <v>242</v>
      </c>
      <c r="L28" s="552">
        <v>340</v>
      </c>
      <c r="M28" s="622">
        <v>390</v>
      </c>
      <c r="N28" s="623">
        <v>390</v>
      </c>
    </row>
    <row r="29" spans="1:14" s="7" customFormat="1" ht="10.5" customHeight="1">
      <c r="A29" s="1284"/>
      <c r="B29" s="1314"/>
      <c r="C29" s="1235"/>
      <c r="D29" s="1260"/>
      <c r="E29" s="1237"/>
      <c r="F29" s="98" t="s">
        <v>198</v>
      </c>
      <c r="G29" s="127" t="s">
        <v>122</v>
      </c>
      <c r="H29" s="629">
        <v>5.5</v>
      </c>
      <c r="I29" s="128">
        <f t="shared" ref="I29:J62" si="1">H29*1.006</f>
        <v>5.5330000000000004</v>
      </c>
      <c r="J29" s="128">
        <f t="shared" si="1"/>
        <v>5.566198</v>
      </c>
      <c r="K29" s="98" t="s">
        <v>242</v>
      </c>
      <c r="L29" s="625">
        <v>556</v>
      </c>
      <c r="M29" s="625">
        <v>580</v>
      </c>
      <c r="N29" s="626">
        <v>600</v>
      </c>
    </row>
    <row r="30" spans="1:14" s="7" customFormat="1" ht="10.5" customHeight="1">
      <c r="A30" s="1284"/>
      <c r="B30" s="1314"/>
      <c r="C30" s="1235"/>
      <c r="D30" s="1260"/>
      <c r="E30" s="1237"/>
      <c r="F30" s="98" t="s">
        <v>198</v>
      </c>
      <c r="G30" s="55" t="s">
        <v>121</v>
      </c>
      <c r="H30" s="630">
        <f>1037.4-770-11.6-5.5</f>
        <v>250.3000000000001</v>
      </c>
      <c r="I30" s="128">
        <f t="shared" si="1"/>
        <v>251.8018000000001</v>
      </c>
      <c r="J30" s="128">
        <f t="shared" si="1"/>
        <v>253.3126108000001</v>
      </c>
      <c r="K30" s="98"/>
      <c r="L30" s="271"/>
      <c r="M30" s="271"/>
      <c r="N30" s="631"/>
    </row>
    <row r="31" spans="1:14" s="7" customFormat="1" ht="10.5" customHeight="1">
      <c r="A31" s="1284"/>
      <c r="B31" s="1314"/>
      <c r="C31" s="1235"/>
      <c r="D31" s="1260"/>
      <c r="E31" s="1237"/>
      <c r="F31" s="98" t="s">
        <v>199</v>
      </c>
      <c r="G31" s="127" t="s">
        <v>122</v>
      </c>
      <c r="H31" s="616">
        <v>2.2999999999999998</v>
      </c>
      <c r="I31" s="128">
        <f t="shared" si="1"/>
        <v>2.3137999999999996</v>
      </c>
      <c r="J31" s="128">
        <f t="shared" si="1"/>
        <v>2.3276827999999998</v>
      </c>
      <c r="K31" s="98" t="s">
        <v>242</v>
      </c>
      <c r="L31" s="625">
        <v>594</v>
      </c>
      <c r="M31" s="625">
        <v>570</v>
      </c>
      <c r="N31" s="626">
        <v>570</v>
      </c>
    </row>
    <row r="32" spans="1:14" s="7" customFormat="1" ht="10.5" customHeight="1">
      <c r="A32" s="1284"/>
      <c r="B32" s="1314"/>
      <c r="C32" s="1235"/>
      <c r="D32" s="1260"/>
      <c r="E32" s="1237"/>
      <c r="F32" s="130" t="s">
        <v>199</v>
      </c>
      <c r="G32" s="127" t="s">
        <v>121</v>
      </c>
      <c r="H32" s="616">
        <f>1112.1-860.9-12.1-2.3</f>
        <v>236.79999999999993</v>
      </c>
      <c r="I32" s="128">
        <f t="shared" si="1"/>
        <v>238.22079999999994</v>
      </c>
      <c r="J32" s="128">
        <f t="shared" si="1"/>
        <v>239.65012479999993</v>
      </c>
      <c r="K32" s="98"/>
      <c r="L32" s="271"/>
      <c r="M32" s="271"/>
      <c r="N32" s="631"/>
    </row>
    <row r="33" spans="1:15" s="7" customFormat="1" ht="10.5" customHeight="1">
      <c r="A33" s="1284"/>
      <c r="B33" s="1314"/>
      <c r="C33" s="1235"/>
      <c r="D33" s="1260"/>
      <c r="E33" s="1237"/>
      <c r="F33" s="130" t="s">
        <v>201</v>
      </c>
      <c r="G33" s="127" t="s">
        <v>122</v>
      </c>
      <c r="H33" s="616">
        <v>5.0999999999999996</v>
      </c>
      <c r="I33" s="128">
        <f t="shared" si="1"/>
        <v>5.1305999999999994</v>
      </c>
      <c r="J33" s="128">
        <f t="shared" si="1"/>
        <v>5.1613835999999997</v>
      </c>
      <c r="K33" s="98" t="s">
        <v>242</v>
      </c>
      <c r="L33" s="625">
        <v>649</v>
      </c>
      <c r="M33" s="625">
        <v>650</v>
      </c>
      <c r="N33" s="626">
        <v>650</v>
      </c>
    </row>
    <row r="34" spans="1:15" s="7" customFormat="1" ht="10.5" customHeight="1">
      <c r="A34" s="1284"/>
      <c r="B34" s="1314"/>
      <c r="C34" s="1235"/>
      <c r="D34" s="1260"/>
      <c r="E34" s="1237"/>
      <c r="F34" s="130" t="s">
        <v>201</v>
      </c>
      <c r="G34" s="127" t="s">
        <v>121</v>
      </c>
      <c r="H34" s="616">
        <f>995.1-728.2-24.3-5.1</f>
        <v>237.49999999999997</v>
      </c>
      <c r="I34" s="128">
        <f t="shared" si="1"/>
        <v>238.92499999999998</v>
      </c>
      <c r="J34" s="128">
        <f t="shared" si="1"/>
        <v>240.35854999999998</v>
      </c>
      <c r="K34" s="98"/>
      <c r="L34" s="271"/>
      <c r="M34" s="271"/>
      <c r="N34" s="631"/>
    </row>
    <row r="35" spans="1:15" s="7" customFormat="1" ht="10.5" customHeight="1">
      <c r="A35" s="1284"/>
      <c r="B35" s="1314"/>
      <c r="C35" s="1235"/>
      <c r="D35" s="1260"/>
      <c r="E35" s="1237"/>
      <c r="F35" s="130" t="s">
        <v>200</v>
      </c>
      <c r="G35" s="127" t="s">
        <v>122</v>
      </c>
      <c r="H35" s="616">
        <v>3.3</v>
      </c>
      <c r="I35" s="128">
        <f t="shared" si="1"/>
        <v>3.3197999999999999</v>
      </c>
      <c r="J35" s="128">
        <f t="shared" si="1"/>
        <v>3.3397188</v>
      </c>
      <c r="K35" s="98" t="s">
        <v>242</v>
      </c>
      <c r="L35" s="625">
        <v>783</v>
      </c>
      <c r="M35" s="625">
        <v>800</v>
      </c>
      <c r="N35" s="626">
        <v>800</v>
      </c>
    </row>
    <row r="36" spans="1:15" s="7" customFormat="1" ht="10.5" customHeight="1">
      <c r="A36" s="1284"/>
      <c r="B36" s="1314"/>
      <c r="C36" s="1235"/>
      <c r="D36" s="1260"/>
      <c r="E36" s="1237"/>
      <c r="F36" s="130" t="s">
        <v>200</v>
      </c>
      <c r="G36" s="127" t="s">
        <v>121</v>
      </c>
      <c r="H36" s="616">
        <f>1140.2-876.4-17-3.3</f>
        <v>243.50000000000006</v>
      </c>
      <c r="I36" s="128">
        <f t="shared" si="1"/>
        <v>244.96100000000007</v>
      </c>
      <c r="J36" s="128">
        <f t="shared" si="1"/>
        <v>246.43076600000006</v>
      </c>
      <c r="K36" s="98"/>
      <c r="L36" s="271"/>
      <c r="M36" s="271"/>
      <c r="N36" s="631"/>
      <c r="O36" s="436"/>
    </row>
    <row r="37" spans="1:15" s="7" customFormat="1" ht="10.5" customHeight="1">
      <c r="A37" s="1284"/>
      <c r="B37" s="1314"/>
      <c r="C37" s="1235"/>
      <c r="D37" s="1260"/>
      <c r="E37" s="1237"/>
      <c r="F37" s="130" t="s">
        <v>243</v>
      </c>
      <c r="G37" s="127" t="s">
        <v>122</v>
      </c>
      <c r="H37" s="616">
        <v>4.3</v>
      </c>
      <c r="I37" s="128">
        <f t="shared" si="1"/>
        <v>4.3258000000000001</v>
      </c>
      <c r="J37" s="128">
        <f t="shared" si="1"/>
        <v>4.3517548000000001</v>
      </c>
      <c r="K37" s="98" t="s">
        <v>242</v>
      </c>
      <c r="L37" s="625">
        <v>242</v>
      </c>
      <c r="M37" s="625">
        <v>240</v>
      </c>
      <c r="N37" s="626">
        <v>250</v>
      </c>
      <c r="O37" s="436"/>
    </row>
    <row r="38" spans="1:15" s="16" customFormat="1" ht="13.5" customHeight="1">
      <c r="A38" s="1284"/>
      <c r="B38" s="1314"/>
      <c r="C38" s="1235"/>
      <c r="D38" s="1260"/>
      <c r="E38" s="1237"/>
      <c r="F38" s="130" t="s">
        <v>243</v>
      </c>
      <c r="G38" s="127" t="s">
        <v>121</v>
      </c>
      <c r="H38" s="616">
        <f>578.5-376.8-21-4.3</f>
        <v>176.39999999999998</v>
      </c>
      <c r="I38" s="128">
        <f>H38*1.006</f>
        <v>177.45839999999998</v>
      </c>
      <c r="J38" s="128">
        <f t="shared" si="1"/>
        <v>178.52315039999999</v>
      </c>
      <c r="K38" s="98"/>
      <c r="L38" s="271"/>
      <c r="M38" s="271"/>
      <c r="N38" s="292"/>
      <c r="O38" s="377"/>
    </row>
    <row r="39" spans="1:15" s="7" customFormat="1" ht="19.5" customHeight="1">
      <c r="A39" s="1284"/>
      <c r="B39" s="1314"/>
      <c r="C39" s="1235"/>
      <c r="D39" s="1260"/>
      <c r="E39" s="1237"/>
      <c r="F39" s="130" t="s">
        <v>244</v>
      </c>
      <c r="G39" s="127" t="s">
        <v>122</v>
      </c>
      <c r="H39" s="616">
        <v>3.9</v>
      </c>
      <c r="I39" s="128">
        <f t="shared" si="1"/>
        <v>3.9234</v>
      </c>
      <c r="J39" s="128">
        <f t="shared" si="1"/>
        <v>3.9469403999999999</v>
      </c>
      <c r="K39" s="98" t="s">
        <v>242</v>
      </c>
      <c r="L39" s="625">
        <v>403</v>
      </c>
      <c r="M39" s="625">
        <v>456</v>
      </c>
      <c r="N39" s="626">
        <v>463</v>
      </c>
      <c r="O39" s="436"/>
    </row>
    <row r="40" spans="1:15" s="7" customFormat="1" ht="10.5" customHeight="1">
      <c r="A40" s="1284"/>
      <c r="B40" s="1314"/>
      <c r="C40" s="1235"/>
      <c r="D40" s="1260"/>
      <c r="E40" s="1237"/>
      <c r="F40" s="98" t="s">
        <v>244</v>
      </c>
      <c r="G40" s="127" t="s">
        <v>121</v>
      </c>
      <c r="H40" s="616">
        <f>818.5-530.6-16.8-3.9</f>
        <v>267.2</v>
      </c>
      <c r="I40" s="128">
        <f t="shared" si="1"/>
        <v>268.8032</v>
      </c>
      <c r="J40" s="128">
        <f t="shared" si="1"/>
        <v>270.41601919999999</v>
      </c>
      <c r="K40" s="98"/>
      <c r="L40" s="271"/>
      <c r="M40" s="271"/>
      <c r="N40" s="292"/>
      <c r="O40" s="436"/>
    </row>
    <row r="41" spans="1:15" s="7" customFormat="1" ht="10.5" customHeight="1">
      <c r="A41" s="1284"/>
      <c r="B41" s="1314"/>
      <c r="C41" s="1235"/>
      <c r="D41" s="1260"/>
      <c r="E41" s="1237"/>
      <c r="F41" s="98" t="s">
        <v>245</v>
      </c>
      <c r="G41" s="127" t="s">
        <v>122</v>
      </c>
      <c r="H41" s="616">
        <v>3.8</v>
      </c>
      <c r="I41" s="128">
        <f t="shared" si="1"/>
        <v>3.8228</v>
      </c>
      <c r="J41" s="128">
        <f t="shared" si="1"/>
        <v>3.8457368000000001</v>
      </c>
      <c r="K41" s="98" t="s">
        <v>242</v>
      </c>
      <c r="L41" s="625">
        <v>169</v>
      </c>
      <c r="M41" s="625">
        <v>177</v>
      </c>
      <c r="N41" s="626">
        <v>180</v>
      </c>
      <c r="O41" s="436"/>
    </row>
    <row r="42" spans="1:15" s="7" customFormat="1" ht="10.5" customHeight="1">
      <c r="A42" s="1284"/>
      <c r="B42" s="1314"/>
      <c r="C42" s="1235"/>
      <c r="D42" s="1260"/>
      <c r="E42" s="1237"/>
      <c r="F42" s="130" t="s">
        <v>245</v>
      </c>
      <c r="G42" s="127" t="s">
        <v>121</v>
      </c>
      <c r="H42" s="616">
        <f>547.8-312.2-13.2-3.8</f>
        <v>218.59999999999997</v>
      </c>
      <c r="I42" s="128">
        <f t="shared" si="1"/>
        <v>219.91159999999996</v>
      </c>
      <c r="J42" s="128">
        <f t="shared" si="1"/>
        <v>221.23106959999996</v>
      </c>
      <c r="K42" s="98"/>
      <c r="L42" s="271"/>
      <c r="M42" s="271"/>
      <c r="N42" s="292"/>
      <c r="O42" s="436"/>
    </row>
    <row r="43" spans="1:15" s="7" customFormat="1" ht="10.5" customHeight="1">
      <c r="A43" s="1284"/>
      <c r="B43" s="1314"/>
      <c r="C43" s="1235"/>
      <c r="D43" s="1260"/>
      <c r="E43" s="1237"/>
      <c r="F43" s="130" t="s">
        <v>202</v>
      </c>
      <c r="G43" s="127" t="s">
        <v>122</v>
      </c>
      <c r="H43" s="616">
        <v>2.4</v>
      </c>
      <c r="I43" s="128">
        <f t="shared" si="1"/>
        <v>2.4144000000000001</v>
      </c>
      <c r="J43" s="128">
        <f t="shared" si="1"/>
        <v>2.4288864000000001</v>
      </c>
      <c r="K43" s="98" t="s">
        <v>242</v>
      </c>
      <c r="L43" s="625">
        <v>79</v>
      </c>
      <c r="M43" s="625">
        <v>75</v>
      </c>
      <c r="N43" s="626">
        <v>75</v>
      </c>
      <c r="O43" s="436"/>
    </row>
    <row r="44" spans="1:15" s="7" customFormat="1" ht="10.5" customHeight="1">
      <c r="A44" s="1284"/>
      <c r="B44" s="1314"/>
      <c r="C44" s="1235"/>
      <c r="D44" s="1260"/>
      <c r="E44" s="1237"/>
      <c r="F44" s="322" t="s">
        <v>202</v>
      </c>
      <c r="G44" s="30" t="s">
        <v>121</v>
      </c>
      <c r="H44" s="562">
        <f>363-199.1-12.4-2.4</f>
        <v>149.1</v>
      </c>
      <c r="I44" s="128">
        <f t="shared" si="1"/>
        <v>149.99459999999999</v>
      </c>
      <c r="J44" s="128">
        <f t="shared" si="1"/>
        <v>150.89456759999999</v>
      </c>
      <c r="K44" s="98"/>
      <c r="L44" s="271"/>
      <c r="M44" s="271"/>
      <c r="N44" s="292"/>
      <c r="O44" s="436"/>
    </row>
    <row r="45" spans="1:15" s="7" customFormat="1" ht="10.5" customHeight="1">
      <c r="A45" s="1284"/>
      <c r="B45" s="1314"/>
      <c r="C45" s="1235"/>
      <c r="D45" s="1260"/>
      <c r="E45" s="1237"/>
      <c r="F45" s="33" t="s">
        <v>247</v>
      </c>
      <c r="G45" s="127" t="s">
        <v>122</v>
      </c>
      <c r="H45" s="616">
        <v>2.2999999999999998</v>
      </c>
      <c r="I45" s="333">
        <f t="shared" si="1"/>
        <v>2.3137999999999996</v>
      </c>
      <c r="J45" s="333">
        <f t="shared" si="1"/>
        <v>2.3276827999999998</v>
      </c>
      <c r="K45" s="98" t="s">
        <v>242</v>
      </c>
      <c r="L45" s="625">
        <v>106</v>
      </c>
      <c r="M45" s="625">
        <v>100</v>
      </c>
      <c r="N45" s="626">
        <v>95</v>
      </c>
      <c r="O45" s="436"/>
    </row>
    <row r="46" spans="1:15" s="319" customFormat="1" ht="10.5" customHeight="1">
      <c r="A46" s="1284"/>
      <c r="B46" s="1314"/>
      <c r="C46" s="1235"/>
      <c r="D46" s="1260"/>
      <c r="E46" s="1237"/>
      <c r="F46" s="336" t="s">
        <v>247</v>
      </c>
      <c r="G46" s="334" t="s">
        <v>121</v>
      </c>
      <c r="H46" s="616">
        <f>397.5-235.6-10.6-2.3</f>
        <v>149</v>
      </c>
      <c r="I46" s="335">
        <f>H46*1.006</f>
        <v>149.89400000000001</v>
      </c>
      <c r="J46" s="335">
        <f>I46*1.006</f>
        <v>150.793364</v>
      </c>
      <c r="K46" s="98"/>
      <c r="L46" s="271"/>
      <c r="M46" s="271"/>
      <c r="N46" s="292"/>
      <c r="O46" s="436"/>
    </row>
    <row r="47" spans="1:15" s="7" customFormat="1" ht="10.5" customHeight="1">
      <c r="A47" s="1284"/>
      <c r="B47" s="1314"/>
      <c r="C47" s="1235"/>
      <c r="D47" s="1260"/>
      <c r="E47" s="1237"/>
      <c r="F47" s="130" t="s">
        <v>203</v>
      </c>
      <c r="G47" s="127" t="s">
        <v>122</v>
      </c>
      <c r="H47" s="616">
        <v>3.4</v>
      </c>
      <c r="I47" s="128">
        <f t="shared" si="1"/>
        <v>3.4203999999999999</v>
      </c>
      <c r="J47" s="128">
        <f t="shared" si="1"/>
        <v>3.4409223999999998</v>
      </c>
      <c r="K47" s="98" t="s">
        <v>242</v>
      </c>
      <c r="L47" s="625">
        <v>75</v>
      </c>
      <c r="M47" s="625">
        <v>75</v>
      </c>
      <c r="N47" s="626">
        <v>75</v>
      </c>
      <c r="O47" s="436"/>
    </row>
    <row r="48" spans="1:15" s="7" customFormat="1" ht="10.5" customHeight="1">
      <c r="A48" s="1284"/>
      <c r="B48" s="1314"/>
      <c r="C48" s="1235"/>
      <c r="D48" s="1260"/>
      <c r="E48" s="1237"/>
      <c r="F48" s="130" t="s">
        <v>203</v>
      </c>
      <c r="G48" s="55" t="s">
        <v>121</v>
      </c>
      <c r="H48" s="629">
        <f>345.3-182.1-11.3-3.4</f>
        <v>148.5</v>
      </c>
      <c r="I48" s="128">
        <f t="shared" si="1"/>
        <v>149.39099999999999</v>
      </c>
      <c r="J48" s="128">
        <f t="shared" si="1"/>
        <v>150.28734599999999</v>
      </c>
      <c r="K48" s="98"/>
      <c r="L48" s="271"/>
      <c r="M48" s="271"/>
      <c r="N48" s="292"/>
      <c r="O48" s="436"/>
    </row>
    <row r="49" spans="1:15" s="7" customFormat="1" ht="10.5" customHeight="1">
      <c r="A49" s="1284"/>
      <c r="B49" s="1314"/>
      <c r="C49" s="1235"/>
      <c r="D49" s="1260"/>
      <c r="E49" s="1237"/>
      <c r="F49" s="130" t="s">
        <v>249</v>
      </c>
      <c r="G49" s="127" t="s">
        <v>122</v>
      </c>
      <c r="H49" s="629">
        <v>9.6999999999999993</v>
      </c>
      <c r="I49" s="128">
        <f t="shared" si="1"/>
        <v>9.7581999999999987</v>
      </c>
      <c r="J49" s="128">
        <f t="shared" si="1"/>
        <v>9.8167491999999985</v>
      </c>
      <c r="K49" s="98" t="s">
        <v>242</v>
      </c>
      <c r="L49" s="625">
        <v>446</v>
      </c>
      <c r="M49" s="625">
        <v>450</v>
      </c>
      <c r="N49" s="626">
        <v>450</v>
      </c>
      <c r="O49" s="436"/>
    </row>
    <row r="50" spans="1:15" s="7" customFormat="1" ht="10.5" customHeight="1">
      <c r="A50" s="1284"/>
      <c r="B50" s="1314"/>
      <c r="C50" s="1235"/>
      <c r="D50" s="1260"/>
      <c r="E50" s="1237"/>
      <c r="F50" s="130" t="s">
        <v>249</v>
      </c>
      <c r="G50" s="55" t="s">
        <v>121</v>
      </c>
      <c r="H50" s="629">
        <f>994.2-573.6-50.7-9.7</f>
        <v>360.20000000000005</v>
      </c>
      <c r="I50" s="128">
        <f t="shared" si="1"/>
        <v>362.36120000000005</v>
      </c>
      <c r="J50" s="128">
        <f t="shared" si="1"/>
        <v>364.53536720000005</v>
      </c>
      <c r="K50" s="98"/>
      <c r="L50" s="271"/>
      <c r="M50" s="271"/>
      <c r="N50" s="292"/>
      <c r="O50" s="436"/>
    </row>
    <row r="51" spans="1:15" s="7" customFormat="1" ht="10.5" customHeight="1">
      <c r="A51" s="1284"/>
      <c r="B51" s="1314"/>
      <c r="C51" s="1235"/>
      <c r="D51" s="1260"/>
      <c r="E51" s="1237"/>
      <c r="F51" s="130" t="s">
        <v>173</v>
      </c>
      <c r="G51" s="127" t="s">
        <v>122</v>
      </c>
      <c r="H51" s="629">
        <v>2.7</v>
      </c>
      <c r="I51" s="128">
        <f t="shared" si="1"/>
        <v>2.7162000000000002</v>
      </c>
      <c r="J51" s="128">
        <f t="shared" si="1"/>
        <v>2.7324972000000001</v>
      </c>
      <c r="K51" s="98" t="s">
        <v>242</v>
      </c>
      <c r="L51" s="625">
        <v>123</v>
      </c>
      <c r="M51" s="625">
        <v>133</v>
      </c>
      <c r="N51" s="626">
        <v>133</v>
      </c>
      <c r="O51" s="436"/>
    </row>
    <row r="52" spans="1:15" s="7" customFormat="1" ht="10.5" customHeight="1">
      <c r="A52" s="1284"/>
      <c r="B52" s="1314"/>
      <c r="C52" s="1235"/>
      <c r="D52" s="1260"/>
      <c r="E52" s="1237"/>
      <c r="F52" s="130" t="s">
        <v>173</v>
      </c>
      <c r="G52" s="55" t="s">
        <v>121</v>
      </c>
      <c r="H52" s="629">
        <f>422-250.2-10.6-2.7</f>
        <v>158.50000000000003</v>
      </c>
      <c r="I52" s="128">
        <f t="shared" si="1"/>
        <v>159.45100000000002</v>
      </c>
      <c r="J52" s="128">
        <f t="shared" si="1"/>
        <v>160.40770600000002</v>
      </c>
      <c r="K52" s="98"/>
      <c r="L52" s="271"/>
      <c r="M52" s="271"/>
      <c r="N52" s="292"/>
      <c r="O52" s="436"/>
    </row>
    <row r="53" spans="1:15" s="7" customFormat="1" ht="10.5" customHeight="1">
      <c r="A53" s="1284"/>
      <c r="B53" s="1314"/>
      <c r="C53" s="1235"/>
      <c r="D53" s="1260"/>
      <c r="E53" s="1237"/>
      <c r="F53" s="130" t="s">
        <v>174</v>
      </c>
      <c r="G53" s="127" t="s">
        <v>122</v>
      </c>
      <c r="H53" s="629">
        <v>1.9</v>
      </c>
      <c r="I53" s="128">
        <f t="shared" si="1"/>
        <v>1.9114</v>
      </c>
      <c r="J53" s="128">
        <f t="shared" si="1"/>
        <v>1.9228684</v>
      </c>
      <c r="K53" s="98" t="s">
        <v>242</v>
      </c>
      <c r="L53" s="625">
        <v>69</v>
      </c>
      <c r="M53" s="625">
        <v>42</v>
      </c>
      <c r="N53" s="626">
        <v>41</v>
      </c>
      <c r="O53" s="436"/>
    </row>
    <row r="54" spans="1:15" s="7" customFormat="1" ht="10.5" customHeight="1">
      <c r="A54" s="1284"/>
      <c r="B54" s="1314"/>
      <c r="C54" s="1235"/>
      <c r="D54" s="1260"/>
      <c r="E54" s="1237"/>
      <c r="F54" s="130" t="s">
        <v>174</v>
      </c>
      <c r="G54" s="55" t="s">
        <v>121</v>
      </c>
      <c r="H54" s="629">
        <f>309.6-161.1-5.1-1.9</f>
        <v>141.50000000000003</v>
      </c>
      <c r="I54" s="128">
        <f t="shared" si="1"/>
        <v>142.34900000000002</v>
      </c>
      <c r="J54" s="128">
        <f t="shared" si="1"/>
        <v>143.20309400000002</v>
      </c>
      <c r="K54" s="98"/>
      <c r="L54" s="271"/>
      <c r="M54" s="271"/>
      <c r="N54" s="292"/>
      <c r="O54" s="436"/>
    </row>
    <row r="55" spans="1:15" s="7" customFormat="1" ht="10.5" customHeight="1">
      <c r="A55" s="1284"/>
      <c r="B55" s="1314"/>
      <c r="C55" s="1235"/>
      <c r="D55" s="1260"/>
      <c r="E55" s="1237"/>
      <c r="F55" s="130" t="s">
        <v>204</v>
      </c>
      <c r="G55" s="127" t="s">
        <v>122</v>
      </c>
      <c r="H55" s="629">
        <v>4.8</v>
      </c>
      <c r="I55" s="128">
        <f t="shared" si="1"/>
        <v>4.8288000000000002</v>
      </c>
      <c r="J55" s="128">
        <f t="shared" si="1"/>
        <v>4.8577728000000002</v>
      </c>
      <c r="K55" s="98" t="s">
        <v>242</v>
      </c>
      <c r="L55" s="625">
        <v>130</v>
      </c>
      <c r="M55" s="625">
        <v>120</v>
      </c>
      <c r="N55" s="626">
        <v>110</v>
      </c>
      <c r="O55" s="436"/>
    </row>
    <row r="56" spans="1:15" s="7" customFormat="1" ht="10.5" customHeight="1">
      <c r="A56" s="1284"/>
      <c r="B56" s="1314"/>
      <c r="C56" s="1235"/>
      <c r="D56" s="1260"/>
      <c r="E56" s="1237"/>
      <c r="F56" s="130" t="s">
        <v>204</v>
      </c>
      <c r="G56" s="55" t="s">
        <v>121</v>
      </c>
      <c r="H56" s="629">
        <f>444.9-257.3-10.3-4.8</f>
        <v>172.49999999999994</v>
      </c>
      <c r="I56" s="128">
        <f t="shared" si="1"/>
        <v>173.53499999999994</v>
      </c>
      <c r="J56" s="128">
        <f t="shared" si="1"/>
        <v>174.57620999999995</v>
      </c>
      <c r="K56" s="98"/>
      <c r="L56" s="271"/>
      <c r="M56" s="271"/>
      <c r="N56" s="292"/>
      <c r="O56" s="436"/>
    </row>
    <row r="57" spans="1:15" s="7" customFormat="1" ht="10.5" customHeight="1">
      <c r="A57" s="1284"/>
      <c r="B57" s="1314"/>
      <c r="C57" s="1235"/>
      <c r="D57" s="1260"/>
      <c r="E57" s="1237"/>
      <c r="F57" s="130" t="s">
        <v>218</v>
      </c>
      <c r="G57" s="127" t="s">
        <v>122</v>
      </c>
      <c r="H57" s="629">
        <v>1.3</v>
      </c>
      <c r="I57" s="128">
        <f t="shared" si="1"/>
        <v>1.3078000000000001</v>
      </c>
      <c r="J57" s="128">
        <f t="shared" si="1"/>
        <v>1.3156468000000001</v>
      </c>
      <c r="K57" s="98" t="s">
        <v>242</v>
      </c>
      <c r="L57" s="625">
        <v>84</v>
      </c>
      <c r="M57" s="625">
        <v>90</v>
      </c>
      <c r="N57" s="626">
        <v>90</v>
      </c>
      <c r="O57" s="436"/>
    </row>
    <row r="58" spans="1:15" s="7" customFormat="1" ht="10.5" customHeight="1">
      <c r="A58" s="1284"/>
      <c r="B58" s="1314"/>
      <c r="C58" s="1235"/>
      <c r="D58" s="1260"/>
      <c r="E58" s="1237"/>
      <c r="F58" s="130" t="s">
        <v>218</v>
      </c>
      <c r="G58" s="55" t="s">
        <v>121</v>
      </c>
      <c r="H58" s="629">
        <f>346.1-205.2-6.4-1.3</f>
        <v>133.20000000000002</v>
      </c>
      <c r="I58" s="128">
        <f t="shared" si="1"/>
        <v>133.99920000000003</v>
      </c>
      <c r="J58" s="128">
        <f t="shared" si="1"/>
        <v>134.80319520000003</v>
      </c>
      <c r="K58" s="98"/>
      <c r="L58" s="271"/>
      <c r="M58" s="271"/>
      <c r="N58" s="292"/>
      <c r="O58" s="436"/>
    </row>
    <row r="59" spans="1:15" s="7" customFormat="1" ht="10.5" customHeight="1">
      <c r="A59" s="1284"/>
      <c r="B59" s="1314"/>
      <c r="C59" s="1235"/>
      <c r="D59" s="1260"/>
      <c r="E59" s="1237"/>
      <c r="F59" s="130" t="s">
        <v>216</v>
      </c>
      <c r="G59" s="127" t="s">
        <v>122</v>
      </c>
      <c r="H59" s="629">
        <v>2.2999999999999998</v>
      </c>
      <c r="I59" s="128">
        <f t="shared" si="1"/>
        <v>2.3137999999999996</v>
      </c>
      <c r="J59" s="128">
        <f t="shared" si="1"/>
        <v>2.3276827999999998</v>
      </c>
      <c r="K59" s="98" t="s">
        <v>242</v>
      </c>
      <c r="L59" s="625">
        <v>209</v>
      </c>
      <c r="M59" s="625">
        <v>260</v>
      </c>
      <c r="N59" s="626">
        <v>260</v>
      </c>
      <c r="O59" s="436"/>
    </row>
    <row r="60" spans="1:15" s="7" customFormat="1" ht="10.5" customHeight="1">
      <c r="A60" s="1284"/>
      <c r="B60" s="1314"/>
      <c r="C60" s="1235"/>
      <c r="D60" s="1260"/>
      <c r="E60" s="1237"/>
      <c r="F60" s="130" t="s">
        <v>216</v>
      </c>
      <c r="G60" s="55" t="s">
        <v>121</v>
      </c>
      <c r="H60" s="629">
        <f>378.9-260.9-7.3-2.3</f>
        <v>108.4</v>
      </c>
      <c r="I60" s="128">
        <f t="shared" si="1"/>
        <v>109.05040000000001</v>
      </c>
      <c r="J60" s="128">
        <f t="shared" si="1"/>
        <v>109.70470240000002</v>
      </c>
      <c r="K60" s="98"/>
      <c r="L60" s="271"/>
      <c r="M60" s="271"/>
      <c r="N60" s="292"/>
      <c r="O60" s="436"/>
    </row>
    <row r="61" spans="1:15" s="7" customFormat="1" ht="10.5" customHeight="1">
      <c r="A61" s="1284"/>
      <c r="B61" s="1314"/>
      <c r="C61" s="1235"/>
      <c r="D61" s="1260"/>
      <c r="E61" s="1237"/>
      <c r="F61" s="130" t="s">
        <v>254</v>
      </c>
      <c r="G61" s="127" t="s">
        <v>122</v>
      </c>
      <c r="H61" s="629">
        <v>2.5</v>
      </c>
      <c r="I61" s="128">
        <f t="shared" si="1"/>
        <v>2.5150000000000001</v>
      </c>
      <c r="J61" s="128">
        <f t="shared" si="1"/>
        <v>2.53009</v>
      </c>
      <c r="K61" s="98" t="s">
        <v>242</v>
      </c>
      <c r="L61" s="625">
        <v>275</v>
      </c>
      <c r="M61" s="625">
        <v>300</v>
      </c>
      <c r="N61" s="626">
        <v>300</v>
      </c>
      <c r="O61" s="436"/>
    </row>
    <row r="62" spans="1:15" s="7" customFormat="1" ht="10.5" customHeight="1">
      <c r="A62" s="1284"/>
      <c r="B62" s="1314"/>
      <c r="C62" s="1235"/>
      <c r="D62" s="1260"/>
      <c r="E62" s="1237"/>
      <c r="F62" s="130" t="s">
        <v>254</v>
      </c>
      <c r="G62" s="55" t="s">
        <v>121</v>
      </c>
      <c r="H62" s="629">
        <f>434.9-313.6-10.4-2.5</f>
        <v>108.39999999999995</v>
      </c>
      <c r="I62" s="128">
        <f t="shared" si="1"/>
        <v>109.05039999999995</v>
      </c>
      <c r="J62" s="128">
        <f t="shared" si="1"/>
        <v>109.70470239999996</v>
      </c>
      <c r="K62" s="98"/>
      <c r="L62" s="271"/>
      <c r="M62" s="271"/>
      <c r="N62" s="292"/>
      <c r="O62" s="436"/>
    </row>
    <row r="63" spans="1:15" s="7" customFormat="1" ht="10.5" customHeight="1">
      <c r="A63" s="1284"/>
      <c r="B63" s="1314"/>
      <c r="C63" s="1235"/>
      <c r="D63" s="1260"/>
      <c r="E63" s="1237"/>
      <c r="F63" s="130" t="s">
        <v>255</v>
      </c>
      <c r="G63" s="55" t="s">
        <v>121</v>
      </c>
      <c r="H63" s="629">
        <f>484.7-346-8.4-42.4-1.4</f>
        <v>86.499999999999972</v>
      </c>
      <c r="I63" s="128">
        <v>0</v>
      </c>
      <c r="J63" s="128">
        <v>0</v>
      </c>
      <c r="K63" s="98" t="s">
        <v>242</v>
      </c>
      <c r="L63" s="625">
        <v>53</v>
      </c>
      <c r="M63" s="625">
        <v>0</v>
      </c>
      <c r="N63" s="626">
        <v>0</v>
      </c>
      <c r="O63" s="436"/>
    </row>
    <row r="64" spans="1:15" s="7" customFormat="1" ht="10.5" customHeight="1" thickBot="1">
      <c r="A64" s="1284"/>
      <c r="B64" s="1314"/>
      <c r="C64" s="1235"/>
      <c r="D64" s="1260"/>
      <c r="E64" s="1237"/>
      <c r="F64" s="130" t="s">
        <v>255</v>
      </c>
      <c r="G64" s="127" t="s">
        <v>122</v>
      </c>
      <c r="H64" s="630">
        <v>1.4</v>
      </c>
      <c r="I64" s="90">
        <v>0</v>
      </c>
      <c r="J64" s="90">
        <v>0</v>
      </c>
      <c r="K64" s="131"/>
      <c r="L64" s="271"/>
      <c r="M64" s="271"/>
      <c r="N64" s="292"/>
      <c r="O64" s="436"/>
    </row>
    <row r="65" spans="1:70" s="7" customFormat="1" ht="15" customHeight="1" thickBot="1">
      <c r="A65" s="1284"/>
      <c r="B65" s="1314"/>
      <c r="C65" s="1306" t="s">
        <v>118</v>
      </c>
      <c r="D65" s="1307"/>
      <c r="E65" s="1307"/>
      <c r="F65" s="1307"/>
      <c r="G65" s="1308"/>
      <c r="H65" s="665">
        <f>SUM(H28:H64)</f>
        <v>3581.2000000000007</v>
      </c>
      <c r="I65" s="666">
        <f>SUM(I28:I64)</f>
        <v>3514.2597999999994</v>
      </c>
      <c r="J65" s="667">
        <f>SUM(J28:J64)</f>
        <v>3535.3453587999998</v>
      </c>
      <c r="K65" s="664" t="s">
        <v>308</v>
      </c>
      <c r="L65" s="632">
        <f>SUM(L28:L64)</f>
        <v>5385</v>
      </c>
      <c r="M65" s="632">
        <f>SUM(M28:M64)</f>
        <v>5508</v>
      </c>
      <c r="N65" s="633">
        <f>SUM(N28:N64)</f>
        <v>5532</v>
      </c>
    </row>
    <row r="66" spans="1:70" s="7" customFormat="1" ht="25.5" customHeight="1">
      <c r="A66" s="1284"/>
      <c r="B66" s="1314"/>
      <c r="C66" s="1309" t="s">
        <v>12</v>
      </c>
      <c r="D66" s="1310"/>
      <c r="E66" s="1310"/>
      <c r="F66" s="544" t="s">
        <v>194</v>
      </c>
      <c r="G66" s="543" t="s">
        <v>135</v>
      </c>
      <c r="H66" s="663">
        <v>7.8</v>
      </c>
      <c r="I66" s="557">
        <f t="shared" ref="I66:J66" si="2">H66*1.006</f>
        <v>7.8468</v>
      </c>
      <c r="J66" s="557">
        <f t="shared" si="2"/>
        <v>7.8938807999999998</v>
      </c>
      <c r="K66" s="541" t="s">
        <v>302</v>
      </c>
      <c r="L66" s="552">
        <v>18</v>
      </c>
      <c r="M66" s="552">
        <v>10</v>
      </c>
      <c r="N66" s="637">
        <v>10</v>
      </c>
    </row>
    <row r="67" spans="1:70" s="7" customFormat="1" ht="24" customHeight="1">
      <c r="A67" s="1284"/>
      <c r="B67" s="1314"/>
      <c r="C67" s="1349"/>
      <c r="D67" s="1169"/>
      <c r="E67" s="1169"/>
      <c r="F67" s="346" t="s">
        <v>217</v>
      </c>
      <c r="G67" s="321" t="s">
        <v>135</v>
      </c>
      <c r="H67" s="630">
        <v>42.4</v>
      </c>
      <c r="I67" s="616">
        <v>0</v>
      </c>
      <c r="J67" s="616">
        <v>0</v>
      </c>
      <c r="K67" s="566" t="s">
        <v>289</v>
      </c>
      <c r="L67" s="625">
        <v>40</v>
      </c>
      <c r="M67" s="625">
        <v>0</v>
      </c>
      <c r="N67" s="626">
        <v>0</v>
      </c>
    </row>
    <row r="68" spans="1:70" s="443" customFormat="1" ht="24" customHeight="1" thickBot="1">
      <c r="A68" s="1284"/>
      <c r="B68" s="1314"/>
      <c r="C68" s="1311"/>
      <c r="D68" s="1312"/>
      <c r="E68" s="1312"/>
      <c r="F68" s="247" t="s">
        <v>244</v>
      </c>
      <c r="G68" s="498" t="s">
        <v>135</v>
      </c>
      <c r="H68" s="511">
        <v>0</v>
      </c>
      <c r="I68" s="511">
        <f>H67*1.006</f>
        <v>42.654399999999995</v>
      </c>
      <c r="J68" s="511">
        <f>I68*1.006</f>
        <v>42.910326399999995</v>
      </c>
      <c r="K68" s="600" t="s">
        <v>289</v>
      </c>
      <c r="L68" s="658"/>
      <c r="M68" s="658">
        <v>44</v>
      </c>
      <c r="N68" s="659">
        <v>37</v>
      </c>
      <c r="O68" s="436"/>
      <c r="P68" s="436"/>
      <c r="Q68" s="436"/>
      <c r="R68" s="436"/>
      <c r="S68" s="436"/>
      <c r="T68" s="436"/>
      <c r="U68" s="436"/>
      <c r="V68" s="436"/>
      <c r="W68" s="436"/>
      <c r="X68" s="436"/>
      <c r="Y68" s="436"/>
      <c r="Z68" s="436"/>
      <c r="AA68" s="436"/>
      <c r="AB68" s="436"/>
      <c r="AC68" s="436"/>
      <c r="AD68" s="436"/>
      <c r="AE68" s="436"/>
      <c r="AF68" s="436"/>
      <c r="AG68" s="436"/>
      <c r="AH68" s="436"/>
      <c r="AI68" s="436"/>
      <c r="AJ68" s="436"/>
      <c r="AK68" s="436"/>
      <c r="AL68" s="436"/>
      <c r="AM68" s="436"/>
      <c r="AN68" s="436"/>
      <c r="AO68" s="436"/>
      <c r="AP68" s="436"/>
      <c r="AQ68" s="436"/>
      <c r="AR68" s="436"/>
      <c r="AS68" s="436"/>
      <c r="AT68" s="436"/>
      <c r="AU68" s="436"/>
      <c r="AV68" s="436"/>
      <c r="AW68" s="436"/>
      <c r="AX68" s="436"/>
      <c r="AY68" s="436"/>
      <c r="AZ68" s="436"/>
      <c r="BA68" s="436"/>
      <c r="BB68" s="436"/>
      <c r="BC68" s="436"/>
      <c r="BD68" s="436"/>
      <c r="BE68" s="436"/>
      <c r="BF68" s="436"/>
      <c r="BG68" s="436"/>
      <c r="BH68" s="436"/>
      <c r="BI68" s="436"/>
      <c r="BJ68" s="436"/>
      <c r="BK68" s="436"/>
      <c r="BL68" s="436"/>
      <c r="BM68" s="436"/>
      <c r="BN68" s="436"/>
      <c r="BO68" s="436"/>
      <c r="BP68" s="436"/>
      <c r="BQ68" s="436"/>
      <c r="BR68" s="436"/>
    </row>
    <row r="69" spans="1:70" s="7" customFormat="1" ht="21.75" thickBot="1">
      <c r="A69" s="1284"/>
      <c r="B69" s="1314"/>
      <c r="C69" s="1206" t="s">
        <v>118</v>
      </c>
      <c r="D69" s="1226"/>
      <c r="E69" s="1226"/>
      <c r="F69" s="1226"/>
      <c r="G69" s="1226"/>
      <c r="H69" s="634">
        <f>SUM(H66:H68)</f>
        <v>50.199999999999996</v>
      </c>
      <c r="I69" s="635">
        <f t="shared" ref="I69:J69" si="3">SUM(I66:I68)</f>
        <v>50.501199999999997</v>
      </c>
      <c r="J69" s="635">
        <f t="shared" si="3"/>
        <v>50.804207199999993</v>
      </c>
      <c r="K69" s="636" t="s">
        <v>307</v>
      </c>
      <c r="L69" s="638">
        <f>SUM(L66:L67)</f>
        <v>58</v>
      </c>
      <c r="M69" s="638">
        <f>SUM(M66:M67)</f>
        <v>10</v>
      </c>
      <c r="N69" s="639">
        <f>SUM(N66:N67)</f>
        <v>10</v>
      </c>
    </row>
    <row r="70" spans="1:70" s="436" customFormat="1" ht="33.75" customHeight="1" thickBot="1">
      <c r="A70" s="1284"/>
      <c r="B70" s="1315"/>
      <c r="C70" s="1355" t="s">
        <v>674</v>
      </c>
      <c r="D70" s="1356"/>
      <c r="E70" s="1357"/>
      <c r="F70" s="449" t="s">
        <v>171</v>
      </c>
      <c r="G70" s="449" t="s">
        <v>121</v>
      </c>
      <c r="H70" s="672">
        <v>5</v>
      </c>
      <c r="I70" s="672">
        <v>5</v>
      </c>
      <c r="J70" s="672">
        <v>5</v>
      </c>
      <c r="K70" s="673" t="s">
        <v>675</v>
      </c>
      <c r="L70" s="674">
        <v>1000</v>
      </c>
      <c r="M70" s="674">
        <v>1000</v>
      </c>
      <c r="N70" s="675">
        <v>1000</v>
      </c>
    </row>
    <row r="71" spans="1:70" s="436" customFormat="1" ht="13.5" thickBot="1">
      <c r="A71" s="1284"/>
      <c r="B71" s="1316"/>
      <c r="C71" s="1223" t="s">
        <v>118</v>
      </c>
      <c r="D71" s="1320"/>
      <c r="E71" s="1320"/>
      <c r="F71" s="1320"/>
      <c r="G71" s="1320"/>
      <c r="H71" s="634">
        <f>H70</f>
        <v>5</v>
      </c>
      <c r="I71" s="635">
        <f t="shared" ref="I71:J71" si="4">I70</f>
        <v>5</v>
      </c>
      <c r="J71" s="635">
        <f t="shared" si="4"/>
        <v>5</v>
      </c>
      <c r="K71" s="448"/>
      <c r="L71" s="640"/>
      <c r="M71" s="640"/>
      <c r="N71" s="641"/>
    </row>
    <row r="72" spans="1:70" s="7" customFormat="1" ht="15" customHeight="1" thickBot="1">
      <c r="A72" s="1285"/>
      <c r="B72" s="1286" t="s">
        <v>119</v>
      </c>
      <c r="C72" s="1287"/>
      <c r="D72" s="1287"/>
      <c r="E72" s="1287"/>
      <c r="F72" s="1287"/>
      <c r="G72" s="1288"/>
      <c r="H72" s="668">
        <f>H27+H65+H69+H71</f>
        <v>11431.800000000003</v>
      </c>
      <c r="I72" s="668">
        <f>I27+I65+I69+I71</f>
        <v>11063.857400000001</v>
      </c>
      <c r="J72" s="668">
        <f>J27+J65+J69+J71</f>
        <v>11130.210544400001</v>
      </c>
      <c r="K72" s="196"/>
      <c r="L72" s="338"/>
      <c r="M72" s="338"/>
      <c r="N72" s="337"/>
    </row>
    <row r="73" spans="1:70" s="7" customFormat="1" ht="14.25" customHeight="1" thickBot="1">
      <c r="A73" s="1297" t="s">
        <v>16</v>
      </c>
      <c r="B73" s="1221"/>
      <c r="C73" s="1221"/>
      <c r="D73" s="1221"/>
      <c r="E73" s="1221"/>
      <c r="F73" s="1221"/>
      <c r="G73" s="1222"/>
      <c r="H73" s="669">
        <f>H72</f>
        <v>11431.800000000003</v>
      </c>
      <c r="I73" s="670">
        <f>I72</f>
        <v>11063.857400000001</v>
      </c>
      <c r="J73" s="671">
        <f>J72</f>
        <v>11130.210544400001</v>
      </c>
      <c r="K73" s="135"/>
      <c r="L73" s="642"/>
      <c r="M73" s="642"/>
      <c r="N73" s="643"/>
    </row>
    <row r="74" spans="1:70" s="7" customFormat="1" ht="10.5" customHeight="1">
      <c r="A74" s="1218" t="s">
        <v>84</v>
      </c>
      <c r="B74" s="1218" t="s">
        <v>136</v>
      </c>
      <c r="C74" s="1165" t="s">
        <v>276</v>
      </c>
      <c r="D74" s="1157"/>
      <c r="E74" s="1158"/>
      <c r="F74" s="544" t="s">
        <v>194</v>
      </c>
      <c r="G74" s="676" t="s">
        <v>135</v>
      </c>
      <c r="H74" s="537">
        <v>343.8</v>
      </c>
      <c r="I74" s="538">
        <f>H74*1.006</f>
        <v>345.86279999999999</v>
      </c>
      <c r="J74" s="538">
        <f>I74*1.006</f>
        <v>347.9379768</v>
      </c>
      <c r="K74" s="568" t="s">
        <v>237</v>
      </c>
      <c r="L74" s="552">
        <v>210</v>
      </c>
      <c r="M74" s="552">
        <v>230</v>
      </c>
      <c r="N74" s="637">
        <v>230</v>
      </c>
    </row>
    <row r="75" spans="1:70" s="7" customFormat="1" ht="10.5" customHeight="1">
      <c r="A75" s="1219"/>
      <c r="B75" s="1219"/>
      <c r="C75" s="1235"/>
      <c r="D75" s="1236"/>
      <c r="E75" s="1237"/>
      <c r="F75" s="6" t="s">
        <v>195</v>
      </c>
      <c r="G75" s="677" t="s">
        <v>135</v>
      </c>
      <c r="H75" s="616">
        <v>211.3</v>
      </c>
      <c r="I75" s="616">
        <f t="shared" ref="I75:J81" si="5">H75*1.006</f>
        <v>212.56780000000001</v>
      </c>
      <c r="J75" s="616">
        <f t="shared" si="5"/>
        <v>213.84320680000002</v>
      </c>
      <c r="K75" s="534" t="s">
        <v>237</v>
      </c>
      <c r="L75" s="625">
        <v>247</v>
      </c>
      <c r="M75" s="625">
        <v>243</v>
      </c>
      <c r="N75" s="626">
        <v>240</v>
      </c>
    </row>
    <row r="76" spans="1:70" s="7" customFormat="1" ht="10.5" customHeight="1">
      <c r="A76" s="1219"/>
      <c r="B76" s="1219"/>
      <c r="C76" s="1235"/>
      <c r="D76" s="1236"/>
      <c r="E76" s="1237"/>
      <c r="F76" s="6" t="s">
        <v>177</v>
      </c>
      <c r="G76" s="677" t="s">
        <v>135</v>
      </c>
      <c r="H76" s="616">
        <v>199.5</v>
      </c>
      <c r="I76" s="616">
        <f t="shared" si="5"/>
        <v>200.697</v>
      </c>
      <c r="J76" s="616">
        <f t="shared" si="5"/>
        <v>201.90118200000001</v>
      </c>
      <c r="K76" s="534" t="s">
        <v>237</v>
      </c>
      <c r="L76" s="625">
        <v>225</v>
      </c>
      <c r="M76" s="625">
        <v>220</v>
      </c>
      <c r="N76" s="626">
        <v>220</v>
      </c>
    </row>
    <row r="77" spans="1:70" s="7" customFormat="1" ht="10.5" customHeight="1">
      <c r="A77" s="1219"/>
      <c r="B77" s="1219"/>
      <c r="C77" s="1235"/>
      <c r="D77" s="1236"/>
      <c r="E77" s="1237"/>
      <c r="F77" s="6" t="s">
        <v>176</v>
      </c>
      <c r="G77" s="677" t="s">
        <v>135</v>
      </c>
      <c r="H77" s="678">
        <v>243.7</v>
      </c>
      <c r="I77" s="616">
        <f t="shared" si="5"/>
        <v>245.16219999999998</v>
      </c>
      <c r="J77" s="616">
        <f t="shared" si="5"/>
        <v>246.63317319999999</v>
      </c>
      <c r="K77" s="534" t="s">
        <v>237</v>
      </c>
      <c r="L77" s="625">
        <v>249</v>
      </c>
      <c r="M77" s="625">
        <v>249</v>
      </c>
      <c r="N77" s="626">
        <v>249</v>
      </c>
    </row>
    <row r="78" spans="1:70" s="7" customFormat="1" ht="10.5" customHeight="1">
      <c r="A78" s="1219"/>
      <c r="B78" s="1219"/>
      <c r="C78" s="1235"/>
      <c r="D78" s="1236"/>
      <c r="E78" s="1237"/>
      <c r="F78" s="6" t="s">
        <v>196</v>
      </c>
      <c r="G78" s="677" t="s">
        <v>135</v>
      </c>
      <c r="H78" s="679">
        <v>195</v>
      </c>
      <c r="I78" s="616">
        <f t="shared" si="5"/>
        <v>196.17</v>
      </c>
      <c r="J78" s="616">
        <f t="shared" si="5"/>
        <v>197.34701999999999</v>
      </c>
      <c r="K78" s="534" t="s">
        <v>237</v>
      </c>
      <c r="L78" s="625">
        <v>218</v>
      </c>
      <c r="M78" s="625">
        <v>220</v>
      </c>
      <c r="N78" s="626">
        <v>220</v>
      </c>
      <c r="O78" s="436"/>
      <c r="P78" s="436"/>
      <c r="Q78" s="436"/>
      <c r="R78" s="436"/>
      <c r="S78" s="436"/>
      <c r="T78" s="436"/>
      <c r="U78" s="436"/>
      <c r="V78" s="436"/>
      <c r="W78" s="436"/>
      <c r="X78" s="436"/>
      <c r="Y78" s="436"/>
      <c r="Z78" s="436"/>
      <c r="AA78" s="436"/>
      <c r="AB78" s="436"/>
      <c r="AC78" s="436"/>
      <c r="AD78" s="436"/>
      <c r="AE78" s="436"/>
      <c r="AF78" s="436"/>
      <c r="AG78" s="436"/>
      <c r="AH78" s="436"/>
      <c r="AI78" s="436"/>
      <c r="AJ78" s="436"/>
      <c r="AK78" s="436"/>
      <c r="AL78" s="436"/>
      <c r="AM78" s="436"/>
      <c r="AN78" s="436"/>
      <c r="AO78" s="436"/>
      <c r="AP78" s="436"/>
      <c r="AQ78" s="436"/>
      <c r="AR78" s="436"/>
      <c r="AS78" s="436"/>
      <c r="AT78" s="436"/>
      <c r="AU78" s="436"/>
      <c r="AV78" s="436"/>
      <c r="AW78" s="436"/>
      <c r="AX78" s="436"/>
      <c r="AY78" s="436"/>
      <c r="AZ78" s="436"/>
      <c r="BA78" s="436"/>
      <c r="BB78" s="436"/>
      <c r="BC78" s="436"/>
      <c r="BD78" s="436"/>
    </row>
    <row r="79" spans="1:70" s="7" customFormat="1" ht="10.5" customHeight="1">
      <c r="A79" s="1219"/>
      <c r="B79" s="1219"/>
      <c r="C79" s="1235"/>
      <c r="D79" s="1236"/>
      <c r="E79" s="1237"/>
      <c r="F79" s="6" t="s">
        <v>175</v>
      </c>
      <c r="G79" s="677" t="s">
        <v>135</v>
      </c>
      <c r="H79" s="629">
        <v>213.7</v>
      </c>
      <c r="I79" s="616">
        <f t="shared" si="5"/>
        <v>214.98219999999998</v>
      </c>
      <c r="J79" s="616">
        <f t="shared" si="5"/>
        <v>216.27209319999997</v>
      </c>
      <c r="K79" s="534" t="s">
        <v>237</v>
      </c>
      <c r="L79" s="625">
        <v>238</v>
      </c>
      <c r="M79" s="625">
        <v>243</v>
      </c>
      <c r="N79" s="626">
        <v>240</v>
      </c>
      <c r="O79" s="436"/>
      <c r="P79" s="436"/>
      <c r="Q79" s="436"/>
      <c r="R79" s="436"/>
      <c r="S79" s="436"/>
      <c r="T79" s="436"/>
      <c r="U79" s="436"/>
      <c r="V79" s="436"/>
      <c r="W79" s="436"/>
      <c r="X79" s="436"/>
      <c r="Y79" s="436"/>
      <c r="Z79" s="436"/>
      <c r="AA79" s="436"/>
      <c r="AB79" s="436"/>
      <c r="AC79" s="436"/>
      <c r="AD79" s="436"/>
      <c r="AE79" s="436"/>
      <c r="AF79" s="436"/>
      <c r="AG79" s="436"/>
      <c r="AH79" s="436"/>
      <c r="AI79" s="436"/>
      <c r="AJ79" s="436"/>
      <c r="AK79" s="436"/>
      <c r="AL79" s="436"/>
      <c r="AM79" s="436"/>
      <c r="AN79" s="436"/>
      <c r="AO79" s="436"/>
      <c r="AP79" s="436"/>
      <c r="AQ79" s="436"/>
      <c r="AR79" s="436"/>
      <c r="AS79" s="436"/>
      <c r="AT79" s="436"/>
      <c r="AU79" s="436"/>
      <c r="AV79" s="436"/>
      <c r="AW79" s="436"/>
      <c r="AX79" s="436"/>
      <c r="AY79" s="436"/>
      <c r="AZ79" s="436"/>
      <c r="BA79" s="436"/>
      <c r="BB79" s="436"/>
      <c r="BC79" s="436"/>
      <c r="BD79" s="436"/>
    </row>
    <row r="80" spans="1:70" s="436" customFormat="1" ht="10.5" customHeight="1">
      <c r="A80" s="1219"/>
      <c r="B80" s="1219"/>
      <c r="C80" s="1235"/>
      <c r="D80" s="1236"/>
      <c r="E80" s="1237"/>
      <c r="F80" s="6" t="s">
        <v>197</v>
      </c>
      <c r="G80" s="677" t="s">
        <v>135</v>
      </c>
      <c r="H80" s="679">
        <v>38.700000000000003</v>
      </c>
      <c r="I80" s="616">
        <f t="shared" ref="I80" si="6">H80*1.006</f>
        <v>38.932200000000002</v>
      </c>
      <c r="J80" s="616">
        <f t="shared" ref="J80" si="7">I80*1.006</f>
        <v>39.165793200000003</v>
      </c>
      <c r="K80" s="534" t="s">
        <v>237</v>
      </c>
      <c r="L80" s="625">
        <v>37</v>
      </c>
      <c r="M80" s="625">
        <v>38</v>
      </c>
      <c r="N80" s="626">
        <v>38</v>
      </c>
    </row>
    <row r="81" spans="1:56" s="443" customFormat="1" ht="10.5" customHeight="1" thickBot="1">
      <c r="A81" s="1219"/>
      <c r="B81" s="1219"/>
      <c r="C81" s="1235"/>
      <c r="D81" s="1236"/>
      <c r="E81" s="1237"/>
      <c r="F81" s="6" t="s">
        <v>676</v>
      </c>
      <c r="G81" s="677" t="s">
        <v>135</v>
      </c>
      <c r="H81" s="616">
        <v>16.899999999999999</v>
      </c>
      <c r="I81" s="616">
        <f t="shared" si="5"/>
        <v>17.0014</v>
      </c>
      <c r="J81" s="616">
        <f t="shared" si="5"/>
        <v>17.103408399999999</v>
      </c>
      <c r="K81" s="534" t="s">
        <v>237</v>
      </c>
      <c r="L81" s="625">
        <v>14</v>
      </c>
      <c r="M81" s="625">
        <v>16</v>
      </c>
      <c r="N81" s="626">
        <v>16</v>
      </c>
      <c r="O81" s="436"/>
      <c r="P81" s="436"/>
      <c r="Q81" s="436"/>
      <c r="R81" s="436"/>
      <c r="S81" s="436"/>
      <c r="T81" s="436"/>
      <c r="U81" s="436"/>
      <c r="V81" s="436"/>
      <c r="W81" s="436"/>
      <c r="X81" s="436"/>
      <c r="Y81" s="436"/>
      <c r="Z81" s="436"/>
      <c r="AA81" s="436"/>
      <c r="AB81" s="436"/>
      <c r="AC81" s="436"/>
      <c r="AD81" s="436"/>
      <c r="AE81" s="436"/>
      <c r="AF81" s="436"/>
      <c r="AG81" s="436"/>
      <c r="AH81" s="436"/>
      <c r="AI81" s="436"/>
      <c r="AJ81" s="436"/>
      <c r="AK81" s="436"/>
      <c r="AL81" s="436"/>
      <c r="AM81" s="436"/>
      <c r="AN81" s="436"/>
      <c r="AO81" s="436"/>
      <c r="AP81" s="436"/>
      <c r="AQ81" s="436"/>
      <c r="AR81" s="436"/>
      <c r="AS81" s="436"/>
      <c r="AT81" s="436"/>
      <c r="AU81" s="436"/>
      <c r="AV81" s="436"/>
      <c r="AW81" s="436"/>
      <c r="AX81" s="436"/>
      <c r="AY81" s="436"/>
      <c r="AZ81" s="436"/>
      <c r="BA81" s="436"/>
      <c r="BB81" s="436"/>
      <c r="BC81" s="436"/>
      <c r="BD81" s="436"/>
    </row>
    <row r="82" spans="1:56" s="7" customFormat="1" ht="16.5" customHeight="1" thickBot="1">
      <c r="A82" s="1219"/>
      <c r="B82" s="1219"/>
      <c r="C82" s="1159" t="s">
        <v>118</v>
      </c>
      <c r="D82" s="1264"/>
      <c r="E82" s="1264"/>
      <c r="F82" s="1264"/>
      <c r="G82" s="1265"/>
      <c r="H82" s="1261">
        <f>SUM(H74:H81)</f>
        <v>1462.6000000000001</v>
      </c>
      <c r="I82" s="1261">
        <f>SUM(I74:I81)</f>
        <v>1471.3756000000001</v>
      </c>
      <c r="J82" s="1261">
        <f>SUM(J74:J81)</f>
        <v>1480.2038536000002</v>
      </c>
      <c r="K82" s="141" t="s">
        <v>304</v>
      </c>
      <c r="L82" s="642">
        <f>SUM(L74:L81)</f>
        <v>1438</v>
      </c>
      <c r="M82" s="642">
        <f>SUM(M74:M81)</f>
        <v>1459</v>
      </c>
      <c r="N82" s="643">
        <f>SUM(N74:N81)</f>
        <v>1453</v>
      </c>
    </row>
    <row r="83" spans="1:56" s="129" customFormat="1" ht="27" customHeight="1" thickBot="1">
      <c r="A83" s="1219"/>
      <c r="B83" s="1219"/>
      <c r="C83" s="1266"/>
      <c r="D83" s="1267"/>
      <c r="E83" s="1267"/>
      <c r="F83" s="1267"/>
      <c r="G83" s="1268"/>
      <c r="H83" s="1262"/>
      <c r="I83" s="1263"/>
      <c r="J83" s="1263"/>
      <c r="K83" s="456" t="s">
        <v>306</v>
      </c>
      <c r="L83" s="644">
        <f>L27+L82</f>
        <v>6823</v>
      </c>
      <c r="M83" s="644">
        <f>M27+M82</f>
        <v>6967</v>
      </c>
      <c r="N83" s="645">
        <f>N27+N82</f>
        <v>6985</v>
      </c>
    </row>
    <row r="84" spans="1:56" s="7" customFormat="1">
      <c r="A84" s="1219"/>
      <c r="B84" s="1315"/>
      <c r="C84" s="1309" t="s">
        <v>123</v>
      </c>
      <c r="D84" s="1177"/>
      <c r="E84" s="1177"/>
      <c r="F84" s="544" t="s">
        <v>194</v>
      </c>
      <c r="G84" s="543" t="s">
        <v>121</v>
      </c>
      <c r="H84" s="538">
        <f>750.7-343.8-5.1-7.8-3.1-60</f>
        <v>330.9</v>
      </c>
      <c r="I84" s="538">
        <f>H84*1.006</f>
        <v>332.8854</v>
      </c>
      <c r="J84" s="538">
        <f>I84*1.006</f>
        <v>334.8827124</v>
      </c>
      <c r="K84" s="568" t="s">
        <v>237</v>
      </c>
      <c r="L84" s="552">
        <v>210</v>
      </c>
      <c r="M84" s="552">
        <v>230</v>
      </c>
      <c r="N84" s="637">
        <v>230</v>
      </c>
    </row>
    <row r="85" spans="1:56" s="7" customFormat="1">
      <c r="A85" s="1219"/>
      <c r="B85" s="1315"/>
      <c r="C85" s="1180"/>
      <c r="D85" s="1181"/>
      <c r="E85" s="1181"/>
      <c r="F85" s="6" t="s">
        <v>194</v>
      </c>
      <c r="G85" s="127" t="s">
        <v>122</v>
      </c>
      <c r="H85" s="616">
        <v>60</v>
      </c>
      <c r="I85" s="616">
        <f t="shared" ref="I85:J99" si="8">H85*1.006</f>
        <v>60.36</v>
      </c>
      <c r="J85" s="616">
        <f t="shared" si="8"/>
        <v>60.722160000000002</v>
      </c>
      <c r="K85" s="564"/>
      <c r="L85" s="616"/>
      <c r="M85" s="616"/>
      <c r="N85" s="680"/>
      <c r="O85" s="436"/>
    </row>
    <row r="86" spans="1:56" s="7" customFormat="1" ht="10.5" customHeight="1">
      <c r="A86" s="1219"/>
      <c r="B86" s="1315"/>
      <c r="C86" s="1180"/>
      <c r="D86" s="1181"/>
      <c r="E86" s="1181"/>
      <c r="F86" s="6" t="s">
        <v>195</v>
      </c>
      <c r="G86" s="321" t="s">
        <v>121</v>
      </c>
      <c r="H86" s="663">
        <f>569.5-211.3-1.8-2.9-69</f>
        <v>284.5</v>
      </c>
      <c r="I86" s="616">
        <f t="shared" si="8"/>
        <v>286.20699999999999</v>
      </c>
      <c r="J86" s="616">
        <f t="shared" si="8"/>
        <v>287.92424199999999</v>
      </c>
      <c r="K86" s="534" t="s">
        <v>237</v>
      </c>
      <c r="L86" s="625">
        <v>247</v>
      </c>
      <c r="M86" s="625">
        <v>243</v>
      </c>
      <c r="N86" s="626">
        <v>240</v>
      </c>
      <c r="O86" s="436"/>
    </row>
    <row r="87" spans="1:56" s="7" customFormat="1" ht="10.5" customHeight="1">
      <c r="A87" s="1219"/>
      <c r="B87" s="1315"/>
      <c r="C87" s="1180"/>
      <c r="D87" s="1181"/>
      <c r="E87" s="1181"/>
      <c r="F87" s="6" t="s">
        <v>195</v>
      </c>
      <c r="G87" s="127" t="s">
        <v>122</v>
      </c>
      <c r="H87" s="629">
        <v>69</v>
      </c>
      <c r="I87" s="616">
        <f t="shared" si="8"/>
        <v>69.414000000000001</v>
      </c>
      <c r="J87" s="616">
        <f t="shared" si="8"/>
        <v>69.830483999999998</v>
      </c>
      <c r="K87" s="534"/>
      <c r="L87" s="625"/>
      <c r="M87" s="625"/>
      <c r="N87" s="626"/>
      <c r="O87" s="436"/>
    </row>
    <row r="88" spans="1:56" s="7" customFormat="1" ht="10.5" customHeight="1">
      <c r="A88" s="1219"/>
      <c r="B88" s="1315"/>
      <c r="C88" s="1180"/>
      <c r="D88" s="1181"/>
      <c r="E88" s="1181"/>
      <c r="F88" s="6" t="s">
        <v>177</v>
      </c>
      <c r="G88" s="321" t="s">
        <v>121</v>
      </c>
      <c r="H88" s="629">
        <f>551.2-199.5-1.3-2.8-70</f>
        <v>277.60000000000002</v>
      </c>
      <c r="I88" s="616">
        <f t="shared" si="8"/>
        <v>279.26560000000001</v>
      </c>
      <c r="J88" s="616">
        <f t="shared" si="8"/>
        <v>280.94119360000002</v>
      </c>
      <c r="K88" s="534" t="s">
        <v>237</v>
      </c>
      <c r="L88" s="625">
        <v>225</v>
      </c>
      <c r="M88" s="625">
        <v>220</v>
      </c>
      <c r="N88" s="626">
        <v>220</v>
      </c>
      <c r="O88" s="436"/>
    </row>
    <row r="89" spans="1:56" s="7" customFormat="1" ht="10.5" customHeight="1">
      <c r="A89" s="1219"/>
      <c r="B89" s="1315"/>
      <c r="C89" s="1180"/>
      <c r="D89" s="1181"/>
      <c r="E89" s="1181"/>
      <c r="F89" s="6" t="s">
        <v>177</v>
      </c>
      <c r="G89" s="127" t="s">
        <v>122</v>
      </c>
      <c r="H89" s="629">
        <v>70</v>
      </c>
      <c r="I89" s="616">
        <f t="shared" si="8"/>
        <v>70.42</v>
      </c>
      <c r="J89" s="616">
        <f t="shared" si="8"/>
        <v>70.842520000000007</v>
      </c>
      <c r="K89" s="534"/>
      <c r="L89" s="625"/>
      <c r="M89" s="625"/>
      <c r="N89" s="626"/>
      <c r="O89" s="436"/>
    </row>
    <row r="90" spans="1:56" s="7" customFormat="1" ht="10.5" customHeight="1">
      <c r="A90" s="1219"/>
      <c r="B90" s="1315"/>
      <c r="C90" s="1180"/>
      <c r="D90" s="1181"/>
      <c r="E90" s="1181"/>
      <c r="F90" s="6" t="s">
        <v>176</v>
      </c>
      <c r="G90" s="321" t="s">
        <v>121</v>
      </c>
      <c r="H90" s="629">
        <f>705.4-243.7-1.2-2.8-66.6</f>
        <v>391.1</v>
      </c>
      <c r="I90" s="616">
        <f t="shared" si="8"/>
        <v>393.44660000000005</v>
      </c>
      <c r="J90" s="616">
        <f t="shared" si="8"/>
        <v>395.80727960000007</v>
      </c>
      <c r="K90" s="534" t="s">
        <v>237</v>
      </c>
      <c r="L90" s="625">
        <v>249</v>
      </c>
      <c r="M90" s="625">
        <v>249</v>
      </c>
      <c r="N90" s="626">
        <v>249</v>
      </c>
      <c r="O90" s="436"/>
    </row>
    <row r="91" spans="1:56" s="7" customFormat="1" ht="10.5" customHeight="1">
      <c r="A91" s="1219"/>
      <c r="B91" s="1315"/>
      <c r="C91" s="1180"/>
      <c r="D91" s="1181"/>
      <c r="E91" s="1181"/>
      <c r="F91" s="6" t="s">
        <v>176</v>
      </c>
      <c r="G91" s="127" t="s">
        <v>122</v>
      </c>
      <c r="H91" s="629">
        <v>66.599999999999994</v>
      </c>
      <c r="I91" s="616">
        <f t="shared" si="8"/>
        <v>66.999600000000001</v>
      </c>
      <c r="J91" s="616">
        <f t="shared" si="8"/>
        <v>67.401597600000002</v>
      </c>
      <c r="K91" s="534"/>
      <c r="L91" s="625"/>
      <c r="M91" s="625"/>
      <c r="N91" s="626"/>
      <c r="O91" s="436"/>
    </row>
    <row r="92" spans="1:56" s="7" customFormat="1" ht="10.5" customHeight="1">
      <c r="A92" s="1219"/>
      <c r="B92" s="1315"/>
      <c r="C92" s="1180"/>
      <c r="D92" s="1181"/>
      <c r="E92" s="1181"/>
      <c r="F92" s="6" t="s">
        <v>196</v>
      </c>
      <c r="G92" s="321" t="s">
        <v>121</v>
      </c>
      <c r="H92" s="629">
        <f>565.1-195-1.3-2.8-67</f>
        <v>299</v>
      </c>
      <c r="I92" s="616">
        <f t="shared" si="8"/>
        <v>300.79399999999998</v>
      </c>
      <c r="J92" s="616">
        <f t="shared" si="8"/>
        <v>302.59876399999996</v>
      </c>
      <c r="K92" s="534" t="s">
        <v>237</v>
      </c>
      <c r="L92" s="625">
        <v>218</v>
      </c>
      <c r="M92" s="625">
        <v>220</v>
      </c>
      <c r="N92" s="626">
        <v>220</v>
      </c>
      <c r="O92" s="436"/>
    </row>
    <row r="93" spans="1:56" s="7" customFormat="1" ht="10.5" customHeight="1">
      <c r="A93" s="1219"/>
      <c r="B93" s="1315"/>
      <c r="C93" s="1180"/>
      <c r="D93" s="1181"/>
      <c r="E93" s="1181"/>
      <c r="F93" s="6" t="s">
        <v>196</v>
      </c>
      <c r="G93" s="127" t="s">
        <v>122</v>
      </c>
      <c r="H93" s="629">
        <v>67</v>
      </c>
      <c r="I93" s="616">
        <f t="shared" si="8"/>
        <v>67.402000000000001</v>
      </c>
      <c r="J93" s="616">
        <f t="shared" si="8"/>
        <v>67.806411999999995</v>
      </c>
      <c r="K93" s="534"/>
      <c r="L93" s="625"/>
      <c r="M93" s="625"/>
      <c r="N93" s="626"/>
      <c r="O93" s="436"/>
    </row>
    <row r="94" spans="1:56" s="7" customFormat="1" ht="10.5" customHeight="1">
      <c r="A94" s="1219"/>
      <c r="B94" s="1315"/>
      <c r="C94" s="1180"/>
      <c r="D94" s="1181"/>
      <c r="E94" s="1181"/>
      <c r="F94" s="6" t="s">
        <v>175</v>
      </c>
      <c r="G94" s="321" t="s">
        <v>121</v>
      </c>
      <c r="H94" s="629">
        <f>590.4-213.7-1.1-2.9-68.3</f>
        <v>304.39999999999998</v>
      </c>
      <c r="I94" s="616">
        <f t="shared" si="8"/>
        <v>306.22639999999996</v>
      </c>
      <c r="J94" s="616">
        <f t="shared" si="8"/>
        <v>308.06375839999998</v>
      </c>
      <c r="K94" s="534" t="s">
        <v>237</v>
      </c>
      <c r="L94" s="625">
        <v>238</v>
      </c>
      <c r="M94" s="625">
        <v>243</v>
      </c>
      <c r="N94" s="626">
        <v>240</v>
      </c>
      <c r="O94" s="436"/>
    </row>
    <row r="95" spans="1:56" s="7" customFormat="1" ht="10.5" customHeight="1">
      <c r="A95" s="1219"/>
      <c r="B95" s="1315"/>
      <c r="C95" s="1180"/>
      <c r="D95" s="1181"/>
      <c r="E95" s="1181"/>
      <c r="F95" s="6" t="s">
        <v>175</v>
      </c>
      <c r="G95" s="127" t="s">
        <v>122</v>
      </c>
      <c r="H95" s="629">
        <v>68.3</v>
      </c>
      <c r="I95" s="616">
        <f t="shared" si="8"/>
        <v>68.709800000000001</v>
      </c>
      <c r="J95" s="616">
        <f t="shared" si="8"/>
        <v>69.122058800000005</v>
      </c>
      <c r="K95" s="534"/>
      <c r="L95" s="625"/>
      <c r="M95" s="625"/>
      <c r="N95" s="626"/>
      <c r="O95" s="436"/>
    </row>
    <row r="96" spans="1:56" s="7" customFormat="1" ht="10.5" customHeight="1">
      <c r="A96" s="1219"/>
      <c r="B96" s="1315"/>
      <c r="C96" s="1180"/>
      <c r="D96" s="1181"/>
      <c r="E96" s="1181"/>
      <c r="F96" s="6" t="s">
        <v>197</v>
      </c>
      <c r="G96" s="321" t="s">
        <v>121</v>
      </c>
      <c r="H96" s="629">
        <f>95.1-38.7-10.3</f>
        <v>46.099999999999994</v>
      </c>
      <c r="I96" s="616">
        <f t="shared" si="8"/>
        <v>46.376599999999996</v>
      </c>
      <c r="J96" s="616">
        <f t="shared" si="8"/>
        <v>46.654859599999995</v>
      </c>
      <c r="K96" s="534" t="s">
        <v>237</v>
      </c>
      <c r="L96" s="625">
        <v>37</v>
      </c>
      <c r="M96" s="625">
        <v>38</v>
      </c>
      <c r="N96" s="626">
        <v>38</v>
      </c>
      <c r="O96" s="436"/>
    </row>
    <row r="97" spans="1:27" s="7" customFormat="1" ht="10.5" customHeight="1">
      <c r="A97" s="1219"/>
      <c r="B97" s="1315"/>
      <c r="C97" s="1180"/>
      <c r="D97" s="1181"/>
      <c r="E97" s="1181"/>
      <c r="F97" s="6" t="s">
        <v>197</v>
      </c>
      <c r="G97" s="127" t="s">
        <v>122</v>
      </c>
      <c r="H97" s="629">
        <v>10.3</v>
      </c>
      <c r="I97" s="616">
        <f t="shared" si="8"/>
        <v>10.361800000000001</v>
      </c>
      <c r="J97" s="616">
        <f t="shared" si="8"/>
        <v>10.423970800000001</v>
      </c>
      <c r="K97" s="534"/>
      <c r="L97" s="625"/>
      <c r="M97" s="625"/>
      <c r="N97" s="626"/>
      <c r="O97" s="436"/>
    </row>
    <row r="98" spans="1:27" s="443" customFormat="1" ht="10.5" customHeight="1">
      <c r="A98" s="1219"/>
      <c r="B98" s="1315"/>
      <c r="C98" s="1180"/>
      <c r="D98" s="1181"/>
      <c r="E98" s="1181"/>
      <c r="F98" s="6" t="s">
        <v>676</v>
      </c>
      <c r="G98" s="321" t="s">
        <v>121</v>
      </c>
      <c r="H98" s="616">
        <f>157.5-16.9-7.1</f>
        <v>133.5</v>
      </c>
      <c r="I98" s="616">
        <f t="shared" si="8"/>
        <v>134.30099999999999</v>
      </c>
      <c r="J98" s="616">
        <f t="shared" si="8"/>
        <v>135.10680599999998</v>
      </c>
      <c r="K98" s="534" t="s">
        <v>237</v>
      </c>
      <c r="L98" s="625">
        <v>14</v>
      </c>
      <c r="M98" s="625">
        <v>16</v>
      </c>
      <c r="N98" s="626">
        <v>16</v>
      </c>
      <c r="O98" s="436"/>
      <c r="P98" s="436"/>
      <c r="Q98" s="436"/>
      <c r="R98" s="436"/>
      <c r="S98" s="436"/>
      <c r="T98" s="436"/>
      <c r="U98" s="436"/>
      <c r="V98" s="436"/>
      <c r="W98" s="436"/>
      <c r="X98" s="436"/>
      <c r="Y98" s="436"/>
      <c r="Z98" s="436"/>
      <c r="AA98" s="436"/>
    </row>
    <row r="99" spans="1:27" s="443" customFormat="1" ht="10.5" customHeight="1" thickBot="1">
      <c r="A99" s="1219"/>
      <c r="B99" s="1315"/>
      <c r="C99" s="1182"/>
      <c r="D99" s="1183"/>
      <c r="E99" s="1183"/>
      <c r="F99" s="411" t="s">
        <v>676</v>
      </c>
      <c r="G99" s="127" t="s">
        <v>122</v>
      </c>
      <c r="H99" s="562">
        <v>7.1</v>
      </c>
      <c r="I99" s="562">
        <f t="shared" si="8"/>
        <v>7.1425999999999998</v>
      </c>
      <c r="J99" s="562">
        <f t="shared" si="8"/>
        <v>7.1854556000000001</v>
      </c>
      <c r="K99" s="565"/>
      <c r="L99" s="681"/>
      <c r="M99" s="681"/>
      <c r="N99" s="682"/>
      <c r="O99" s="436"/>
      <c r="P99" s="436"/>
      <c r="Q99" s="436"/>
      <c r="R99" s="436"/>
      <c r="S99" s="436"/>
      <c r="T99" s="436"/>
      <c r="U99" s="436"/>
      <c r="V99" s="436"/>
      <c r="W99" s="436"/>
      <c r="X99" s="436"/>
      <c r="Y99" s="436"/>
      <c r="Z99" s="436"/>
      <c r="AA99" s="436"/>
    </row>
    <row r="100" spans="1:27" s="7" customFormat="1" ht="15.75" customHeight="1" thickBot="1">
      <c r="A100" s="1219"/>
      <c r="B100" s="1318"/>
      <c r="C100" s="1223" t="s">
        <v>118</v>
      </c>
      <c r="D100" s="1320"/>
      <c r="E100" s="1320"/>
      <c r="F100" s="1320"/>
      <c r="G100" s="1320"/>
      <c r="H100" s="665">
        <f>SUM(H84:H99)</f>
        <v>2485.4</v>
      </c>
      <c r="I100" s="666">
        <f t="shared" ref="I100:J100" si="9">SUM(I84:I99)</f>
        <v>2500.3124000000007</v>
      </c>
      <c r="J100" s="666">
        <f t="shared" si="9"/>
        <v>2515.3142743999997</v>
      </c>
      <c r="K100" s="684" t="s">
        <v>304</v>
      </c>
      <c r="L100" s="685">
        <f>SUM(L84:L99)</f>
        <v>1438</v>
      </c>
      <c r="M100" s="685">
        <f t="shared" ref="M100:N100" si="10">SUM(M84:M99)</f>
        <v>1459</v>
      </c>
      <c r="N100" s="686">
        <f t="shared" si="10"/>
        <v>1453</v>
      </c>
    </row>
    <row r="101" spans="1:27" s="7" customFormat="1" ht="13.5" customHeight="1" thickBot="1">
      <c r="A101" s="1318"/>
      <c r="B101" s="1159" t="s">
        <v>119</v>
      </c>
      <c r="C101" s="1319"/>
      <c r="D101" s="1319"/>
      <c r="E101" s="1319"/>
      <c r="F101" s="1319"/>
      <c r="G101" s="1319"/>
      <c r="H101" s="746">
        <f>H82+H100</f>
        <v>3948</v>
      </c>
      <c r="I101" s="747">
        <f>I82+I100</f>
        <v>3971.688000000001</v>
      </c>
      <c r="J101" s="747">
        <f>J82+J100</f>
        <v>3995.5181279999997</v>
      </c>
      <c r="K101" s="196"/>
      <c r="L101" s="338"/>
      <c r="M101" s="338"/>
      <c r="N101" s="337"/>
    </row>
    <row r="102" spans="1:27" s="7" customFormat="1" ht="21.75" thickBot="1">
      <c r="A102" s="1297" t="s">
        <v>303</v>
      </c>
      <c r="B102" s="1221"/>
      <c r="C102" s="1221"/>
      <c r="D102" s="1221"/>
      <c r="E102" s="1221"/>
      <c r="F102" s="1221"/>
      <c r="G102" s="1222"/>
      <c r="H102" s="687">
        <f>H101</f>
        <v>3948</v>
      </c>
      <c r="I102" s="683">
        <f>I101</f>
        <v>3971.688000000001</v>
      </c>
      <c r="J102" s="683">
        <f>J101</f>
        <v>3995.5181279999997</v>
      </c>
      <c r="K102" s="688" t="s">
        <v>305</v>
      </c>
      <c r="L102" s="685">
        <f>L27+L82</f>
        <v>6823</v>
      </c>
      <c r="M102" s="685">
        <f>M27+M82</f>
        <v>6967</v>
      </c>
      <c r="N102" s="686">
        <f>N27+N82</f>
        <v>6985</v>
      </c>
    </row>
    <row r="103" spans="1:27" s="7" customFormat="1" ht="21.75" customHeight="1">
      <c r="A103" s="1317" t="s">
        <v>85</v>
      </c>
      <c r="B103" s="1317" t="s">
        <v>86</v>
      </c>
      <c r="C103" s="1299" t="s">
        <v>665</v>
      </c>
      <c r="D103" s="1300"/>
      <c r="E103" s="1301"/>
      <c r="F103" s="1358" t="s">
        <v>171</v>
      </c>
      <c r="G103" s="1191" t="s">
        <v>121</v>
      </c>
      <c r="H103" s="1151">
        <v>17</v>
      </c>
      <c r="I103" s="1331">
        <f>H103*1.006</f>
        <v>17.102</v>
      </c>
      <c r="J103" s="1331">
        <f>I103*1.006</f>
        <v>17.204612000000001</v>
      </c>
      <c r="K103" s="507" t="s">
        <v>288</v>
      </c>
      <c r="L103" s="689">
        <v>25</v>
      </c>
      <c r="M103" s="689">
        <v>26</v>
      </c>
      <c r="N103" s="690">
        <v>27</v>
      </c>
    </row>
    <row r="104" spans="1:27" s="129" customFormat="1" ht="27.75" customHeight="1" thickBot="1">
      <c r="A104" s="1219"/>
      <c r="B104" s="1219"/>
      <c r="C104" s="1302"/>
      <c r="D104" s="1303"/>
      <c r="E104" s="1304"/>
      <c r="F104" s="1148"/>
      <c r="G104" s="1150"/>
      <c r="H104" s="1152"/>
      <c r="I104" s="1170"/>
      <c r="J104" s="1170"/>
      <c r="K104" s="502" t="s">
        <v>309</v>
      </c>
      <c r="L104" s="658">
        <v>630</v>
      </c>
      <c r="M104" s="658">
        <v>640</v>
      </c>
      <c r="N104" s="659">
        <v>650</v>
      </c>
    </row>
    <row r="105" spans="1:27" s="7" customFormat="1" ht="13.5" thickBot="1">
      <c r="A105" s="1219"/>
      <c r="B105" s="1219"/>
      <c r="C105" s="1153" t="s">
        <v>118</v>
      </c>
      <c r="D105" s="1154"/>
      <c r="E105" s="1154"/>
      <c r="F105" s="1154"/>
      <c r="G105" s="1155"/>
      <c r="H105" s="691">
        <f>SUM(H103:H103)</f>
        <v>17</v>
      </c>
      <c r="I105" s="692">
        <f>SUM(I103:I103)</f>
        <v>17.102</v>
      </c>
      <c r="J105" s="692">
        <f>SUM(J103:J103)</f>
        <v>17.204612000000001</v>
      </c>
      <c r="K105" s="151"/>
      <c r="L105" s="546"/>
      <c r="M105" s="546"/>
      <c r="N105" s="545"/>
    </row>
    <row r="106" spans="1:27" s="7" customFormat="1" ht="35.25" customHeight="1">
      <c r="A106" s="1219"/>
      <c r="B106" s="1219"/>
      <c r="C106" s="1165" t="s">
        <v>664</v>
      </c>
      <c r="D106" s="1166"/>
      <c r="E106" s="1166"/>
      <c r="F106" s="1147" t="s">
        <v>171</v>
      </c>
      <c r="G106" s="1149" t="s">
        <v>121</v>
      </c>
      <c r="H106" s="1151">
        <v>1.2</v>
      </c>
      <c r="I106" s="1321">
        <f>H106*1.006</f>
        <v>1.2072000000000001</v>
      </c>
      <c r="J106" s="1321">
        <f>I106*1.006</f>
        <v>1.2144432000000001</v>
      </c>
      <c r="K106" s="693" t="s">
        <v>456</v>
      </c>
      <c r="L106" s="552">
        <v>3</v>
      </c>
      <c r="M106" s="552">
        <v>4</v>
      </c>
      <c r="N106" s="637">
        <v>4</v>
      </c>
    </row>
    <row r="107" spans="1:27" s="129" customFormat="1" ht="28.5" customHeight="1" thickBot="1">
      <c r="A107" s="1219"/>
      <c r="B107" s="1219"/>
      <c r="C107" s="1230"/>
      <c r="D107" s="1231"/>
      <c r="E107" s="1231"/>
      <c r="F107" s="1148"/>
      <c r="G107" s="1150"/>
      <c r="H107" s="1152"/>
      <c r="I107" s="1170"/>
      <c r="J107" s="1170"/>
      <c r="K107" s="694" t="s">
        <v>457</v>
      </c>
      <c r="L107" s="658">
        <v>2</v>
      </c>
      <c r="M107" s="658">
        <v>2</v>
      </c>
      <c r="N107" s="659">
        <v>2</v>
      </c>
    </row>
    <row r="108" spans="1:27" s="7" customFormat="1" ht="13.5" thickBot="1">
      <c r="A108" s="1219"/>
      <c r="B108" s="1219"/>
      <c r="C108" s="1223" t="s">
        <v>118</v>
      </c>
      <c r="D108" s="1224"/>
      <c r="E108" s="1224"/>
      <c r="F108" s="1224"/>
      <c r="G108" s="1225"/>
      <c r="H108" s="695">
        <f>SUM(H106)</f>
        <v>1.2</v>
      </c>
      <c r="I108" s="670">
        <f>SUM(I106)</f>
        <v>1.2072000000000001</v>
      </c>
      <c r="J108" s="670">
        <f>SUM(J106)</f>
        <v>1.2144432000000001</v>
      </c>
      <c r="K108" s="154"/>
      <c r="L108" s="646"/>
      <c r="M108" s="646"/>
      <c r="N108" s="647"/>
    </row>
    <row r="109" spans="1:27" s="7" customFormat="1" ht="25.5" customHeight="1" thickBot="1">
      <c r="A109" s="1219"/>
      <c r="B109" s="1219"/>
      <c r="C109" s="1165" t="s">
        <v>5</v>
      </c>
      <c r="D109" s="1166"/>
      <c r="E109" s="1167"/>
      <c r="F109" s="551" t="s">
        <v>171</v>
      </c>
      <c r="G109" s="559" t="s">
        <v>121</v>
      </c>
      <c r="H109" s="696">
        <v>3.4</v>
      </c>
      <c r="I109" s="696">
        <f>H109*1.006</f>
        <v>3.4203999999999999</v>
      </c>
      <c r="J109" s="696">
        <f>I109*1.006</f>
        <v>3.4409223999999998</v>
      </c>
      <c r="K109" s="697" t="s">
        <v>290</v>
      </c>
      <c r="L109" s="698">
        <v>900</v>
      </c>
      <c r="M109" s="698">
        <v>900</v>
      </c>
      <c r="N109" s="699">
        <v>900</v>
      </c>
    </row>
    <row r="110" spans="1:27" s="7" customFormat="1" ht="13.5" thickBot="1">
      <c r="A110" s="1219"/>
      <c r="B110" s="1219"/>
      <c r="C110" s="1153" t="s">
        <v>118</v>
      </c>
      <c r="D110" s="1154"/>
      <c r="E110" s="1154"/>
      <c r="F110" s="1154"/>
      <c r="G110" s="1269"/>
      <c r="H110" s="670">
        <f>SUM(H109)</f>
        <v>3.4</v>
      </c>
      <c r="I110" s="670">
        <f>SUM(I109)</f>
        <v>3.4203999999999999</v>
      </c>
      <c r="J110" s="670">
        <f>SUM(J109)</f>
        <v>3.4409223999999998</v>
      </c>
      <c r="K110" s="139"/>
      <c r="L110" s="164"/>
      <c r="M110" s="164"/>
      <c r="N110" s="165"/>
    </row>
    <row r="111" spans="1:27" s="7" customFormat="1" ht="24.75" customHeight="1" thickBot="1">
      <c r="A111" s="1219"/>
      <c r="B111" s="1219"/>
      <c r="C111" s="1299" t="s">
        <v>666</v>
      </c>
      <c r="D111" s="1322"/>
      <c r="E111" s="1323"/>
      <c r="F111" s="551" t="s">
        <v>171</v>
      </c>
      <c r="G111" s="559" t="s">
        <v>121</v>
      </c>
      <c r="H111" s="556">
        <v>22</v>
      </c>
      <c r="I111" s="556">
        <f>H111*1.006</f>
        <v>22.132000000000001</v>
      </c>
      <c r="J111" s="556">
        <f>I111*1.006</f>
        <v>22.264792</v>
      </c>
      <c r="K111" s="697" t="s">
        <v>291</v>
      </c>
      <c r="L111" s="524">
        <f>SUM(10+1+8)</f>
        <v>19</v>
      </c>
      <c r="M111" s="524">
        <f>SUM(12+1+8)</f>
        <v>21</v>
      </c>
      <c r="N111" s="700">
        <f>SUM(12+1+8)</f>
        <v>21</v>
      </c>
    </row>
    <row r="112" spans="1:27" s="7" customFormat="1" ht="13.5" thickBot="1">
      <c r="A112" s="1219"/>
      <c r="B112" s="1219"/>
      <c r="C112" s="1153" t="s">
        <v>118</v>
      </c>
      <c r="D112" s="1154"/>
      <c r="E112" s="1154"/>
      <c r="F112" s="1154"/>
      <c r="G112" s="1155"/>
      <c r="H112" s="695">
        <f>SUM(H111)</f>
        <v>22</v>
      </c>
      <c r="I112" s="670">
        <f>SUM(I111)</f>
        <v>22.132000000000001</v>
      </c>
      <c r="J112" s="670">
        <f>SUM(J111)</f>
        <v>22.264792</v>
      </c>
      <c r="K112" s="139"/>
      <c r="L112" s="164"/>
      <c r="M112" s="164"/>
      <c r="N112" s="165"/>
    </row>
    <row r="113" spans="1:14" s="7" customFormat="1" ht="23.25" customHeight="1" thickBot="1">
      <c r="A113" s="1219"/>
      <c r="B113" s="1219"/>
      <c r="C113" s="1165" t="s">
        <v>663</v>
      </c>
      <c r="D113" s="1166"/>
      <c r="E113" s="1167"/>
      <c r="F113" s="551" t="s">
        <v>171</v>
      </c>
      <c r="G113" s="701" t="s">
        <v>121</v>
      </c>
      <c r="H113" s="556">
        <v>12</v>
      </c>
      <c r="I113" s="556">
        <f>H113*1.006</f>
        <v>12.071999999999999</v>
      </c>
      <c r="J113" s="556">
        <f>I113*1.006</f>
        <v>12.144432</v>
      </c>
      <c r="K113" s="697" t="s">
        <v>292</v>
      </c>
      <c r="L113" s="702">
        <v>360</v>
      </c>
      <c r="M113" s="702">
        <v>380</v>
      </c>
      <c r="N113" s="703">
        <v>400</v>
      </c>
    </row>
    <row r="114" spans="1:14" s="7" customFormat="1" ht="13.5" thickBot="1">
      <c r="A114" s="1219"/>
      <c r="B114" s="1219"/>
      <c r="C114" s="1159" t="s">
        <v>118</v>
      </c>
      <c r="D114" s="1160"/>
      <c r="E114" s="1160"/>
      <c r="F114" s="1160"/>
      <c r="G114" s="1164"/>
      <c r="H114" s="704">
        <f>SUM(H113)</f>
        <v>12</v>
      </c>
      <c r="I114" s="705">
        <f>SUM(I113)</f>
        <v>12.071999999999999</v>
      </c>
      <c r="J114" s="705">
        <f>SUM(J113)</f>
        <v>12.144432</v>
      </c>
      <c r="K114" s="140"/>
      <c r="L114" s="546"/>
      <c r="M114" s="546"/>
      <c r="N114" s="545"/>
    </row>
    <row r="115" spans="1:14" s="7" customFormat="1" ht="19.5" customHeight="1" thickBot="1">
      <c r="A115" s="1219"/>
      <c r="B115" s="1315"/>
      <c r="C115" s="1327" t="s">
        <v>670</v>
      </c>
      <c r="D115" s="1328"/>
      <c r="E115" s="1328"/>
      <c r="F115" s="706" t="s">
        <v>171</v>
      </c>
      <c r="G115" s="522" t="s">
        <v>121</v>
      </c>
      <c r="H115" s="707">
        <v>15</v>
      </c>
      <c r="I115" s="707">
        <f>H115*1.006</f>
        <v>15.09</v>
      </c>
      <c r="J115" s="707">
        <f>I115*1.006</f>
        <v>15.180540000000001</v>
      </c>
      <c r="K115" s="370" t="s">
        <v>293</v>
      </c>
      <c r="L115" s="524">
        <v>16</v>
      </c>
      <c r="M115" s="524">
        <v>17</v>
      </c>
      <c r="N115" s="700">
        <v>18</v>
      </c>
    </row>
    <row r="116" spans="1:14" s="7" customFormat="1" ht="14.25" customHeight="1" thickBot="1">
      <c r="A116" s="1219"/>
      <c r="B116" s="1219"/>
      <c r="C116" s="1329"/>
      <c r="D116" s="1330"/>
      <c r="E116" s="1330"/>
      <c r="F116" s="397"/>
      <c r="G116" s="828" t="s">
        <v>118</v>
      </c>
      <c r="H116" s="829">
        <f>SUM(H115)</f>
        <v>15</v>
      </c>
      <c r="I116" s="830">
        <f>SUM(I115)</f>
        <v>15.09</v>
      </c>
      <c r="J116" s="830">
        <f>SUM(J115)</f>
        <v>15.180540000000001</v>
      </c>
      <c r="K116" s="196"/>
      <c r="L116" s="338"/>
      <c r="M116" s="338"/>
      <c r="N116" s="337"/>
    </row>
    <row r="117" spans="1:14" s="7" customFormat="1" ht="46.5" customHeight="1" thickBot="1">
      <c r="A117" s="1219"/>
      <c r="B117" s="1219"/>
      <c r="C117" s="1165" t="s">
        <v>671</v>
      </c>
      <c r="D117" s="1166"/>
      <c r="E117" s="1167"/>
      <c r="F117" s="551" t="s">
        <v>171</v>
      </c>
      <c r="G117" s="145" t="s">
        <v>121</v>
      </c>
      <c r="H117" s="696">
        <v>8.8000000000000007</v>
      </c>
      <c r="I117" s="556">
        <f>H117*1.006</f>
        <v>8.8528000000000002</v>
      </c>
      <c r="J117" s="556">
        <f>I117*1.006</f>
        <v>8.9059168</v>
      </c>
      <c r="K117" s="697" t="s">
        <v>294</v>
      </c>
      <c r="L117" s="524">
        <v>230</v>
      </c>
      <c r="M117" s="524">
        <v>230</v>
      </c>
      <c r="N117" s="700">
        <v>230</v>
      </c>
    </row>
    <row r="118" spans="1:14" s="7" customFormat="1" ht="12.75" customHeight="1" thickBot="1">
      <c r="A118" s="1219"/>
      <c r="B118" s="1219"/>
      <c r="C118" s="1153" t="s">
        <v>118</v>
      </c>
      <c r="D118" s="1154"/>
      <c r="E118" s="1154"/>
      <c r="F118" s="1154"/>
      <c r="G118" s="1155"/>
      <c r="H118" s="708">
        <f>SUM(H117)</f>
        <v>8.8000000000000007</v>
      </c>
      <c r="I118" s="671">
        <f>SUM(I117)</f>
        <v>8.8528000000000002</v>
      </c>
      <c r="J118" s="671">
        <f>SUM(J117)</f>
        <v>8.9059168</v>
      </c>
      <c r="K118" s="139"/>
      <c r="L118" s="164"/>
      <c r="M118" s="164"/>
      <c r="N118" s="165"/>
    </row>
    <row r="119" spans="1:14" s="7" customFormat="1" ht="42" customHeight="1" thickBot="1">
      <c r="A119" s="1219"/>
      <c r="B119" s="1219"/>
      <c r="C119" s="1165" t="s">
        <v>672</v>
      </c>
      <c r="D119" s="1166"/>
      <c r="E119" s="1167"/>
      <c r="F119" s="551" t="s">
        <v>171</v>
      </c>
      <c r="G119" s="709" t="s">
        <v>121</v>
      </c>
      <c r="H119" s="556">
        <v>176</v>
      </c>
      <c r="I119" s="556">
        <f>H119*1.006</f>
        <v>177.05600000000001</v>
      </c>
      <c r="J119" s="556">
        <f>I119*1.006</f>
        <v>178.118336</v>
      </c>
      <c r="K119" s="710" t="s">
        <v>295</v>
      </c>
      <c r="L119" s="880">
        <v>15</v>
      </c>
      <c r="M119" s="880">
        <v>15</v>
      </c>
      <c r="N119" s="908">
        <v>15</v>
      </c>
    </row>
    <row r="120" spans="1:14" s="7" customFormat="1" ht="13.5" thickBot="1">
      <c r="A120" s="1219"/>
      <c r="B120" s="1219"/>
      <c r="C120" s="1153" t="s">
        <v>118</v>
      </c>
      <c r="D120" s="1154"/>
      <c r="E120" s="1154"/>
      <c r="F120" s="1154"/>
      <c r="G120" s="1155"/>
      <c r="H120" s="708">
        <f>SUM(H119)</f>
        <v>176</v>
      </c>
      <c r="I120" s="671">
        <f>SUM(I119)</f>
        <v>177.05600000000001</v>
      </c>
      <c r="J120" s="671">
        <f>SUM(J119)</f>
        <v>178.118336</v>
      </c>
      <c r="K120" s="139"/>
      <c r="L120" s="164"/>
      <c r="M120" s="164"/>
      <c r="N120" s="165"/>
    </row>
    <row r="121" spans="1:14" s="7" customFormat="1" ht="24" customHeight="1" thickBot="1">
      <c r="A121" s="1219"/>
      <c r="B121" s="1219"/>
      <c r="C121" s="1156" t="s">
        <v>673</v>
      </c>
      <c r="D121" s="1157"/>
      <c r="E121" s="1158"/>
      <c r="F121" s="551" t="s">
        <v>171</v>
      </c>
      <c r="G121" s="559" t="s">
        <v>121</v>
      </c>
      <c r="H121" s="711">
        <v>6</v>
      </c>
      <c r="I121" s="711">
        <f>H121*1.006</f>
        <v>6.0359999999999996</v>
      </c>
      <c r="J121" s="711">
        <f>I121*1.006</f>
        <v>6.0722160000000001</v>
      </c>
      <c r="K121" s="710" t="s">
        <v>296</v>
      </c>
      <c r="L121" s="712">
        <v>10</v>
      </c>
      <c r="M121" s="712">
        <v>10</v>
      </c>
      <c r="N121" s="713">
        <v>10</v>
      </c>
    </row>
    <row r="122" spans="1:14" s="7" customFormat="1" ht="13.5" thickBot="1">
      <c r="A122" s="1219"/>
      <c r="B122" s="1318"/>
      <c r="C122" s="1159" t="s">
        <v>118</v>
      </c>
      <c r="D122" s="1160"/>
      <c r="E122" s="1160"/>
      <c r="F122" s="1160"/>
      <c r="G122" s="1160"/>
      <c r="H122" s="708">
        <f>SUM(H121)</f>
        <v>6</v>
      </c>
      <c r="I122" s="671">
        <f>SUM(I121)</f>
        <v>6.0359999999999996</v>
      </c>
      <c r="J122" s="671">
        <f>SUM(J121)</f>
        <v>6.0722160000000001</v>
      </c>
      <c r="K122" s="139"/>
      <c r="L122" s="164"/>
      <c r="M122" s="164"/>
      <c r="N122" s="165"/>
    </row>
    <row r="123" spans="1:14" s="7" customFormat="1" ht="13.5" thickBot="1">
      <c r="A123" s="1219"/>
      <c r="B123" s="1153" t="s">
        <v>119</v>
      </c>
      <c r="C123" s="1160"/>
      <c r="D123" s="1160"/>
      <c r="E123" s="1160"/>
      <c r="F123" s="1160"/>
      <c r="G123" s="1164"/>
      <c r="H123" s="714">
        <f>H105+H108+H110+H112+H114+H116+H118+H120+H122</f>
        <v>261.39999999999998</v>
      </c>
      <c r="I123" s="714">
        <f t="shared" ref="I123:J123" si="11">I105+I108+I110+I112+I114+I116+I118+I120+I122</f>
        <v>262.96840000000003</v>
      </c>
      <c r="J123" s="714">
        <f t="shared" si="11"/>
        <v>264.54621040000006</v>
      </c>
      <c r="K123" s="157"/>
      <c r="L123" s="344"/>
      <c r="M123" s="344"/>
      <c r="N123" s="345"/>
    </row>
    <row r="124" spans="1:14" s="7" customFormat="1" ht="33" customHeight="1">
      <c r="A124" s="1219"/>
      <c r="B124" s="1213" t="s">
        <v>82</v>
      </c>
      <c r="C124" s="1309" t="s">
        <v>81</v>
      </c>
      <c r="D124" s="1310"/>
      <c r="E124" s="1310"/>
      <c r="F124" s="1147" t="s">
        <v>220</v>
      </c>
      <c r="G124" s="1149" t="s">
        <v>135</v>
      </c>
      <c r="H124" s="1324">
        <v>72.2</v>
      </c>
      <c r="I124" s="1199">
        <f>H124*1.006</f>
        <v>72.633200000000002</v>
      </c>
      <c r="J124" s="1199">
        <f>I124*1.006</f>
        <v>73.068999200000007</v>
      </c>
      <c r="K124" s="541" t="s">
        <v>298</v>
      </c>
      <c r="L124" s="648">
        <v>115</v>
      </c>
      <c r="M124" s="648">
        <v>120</v>
      </c>
      <c r="N124" s="649">
        <v>120</v>
      </c>
    </row>
    <row r="125" spans="1:14" s="129" customFormat="1" ht="23.25" customHeight="1" thickBot="1">
      <c r="A125" s="1219"/>
      <c r="B125" s="1210"/>
      <c r="C125" s="1311"/>
      <c r="D125" s="1312"/>
      <c r="E125" s="1312"/>
      <c r="F125" s="1148"/>
      <c r="G125" s="1150"/>
      <c r="H125" s="1325"/>
      <c r="I125" s="1146"/>
      <c r="J125" s="1146"/>
      <c r="K125" s="567" t="s">
        <v>167</v>
      </c>
      <c r="L125" s="650">
        <v>45</v>
      </c>
      <c r="M125" s="650">
        <v>45</v>
      </c>
      <c r="N125" s="651">
        <v>45</v>
      </c>
    </row>
    <row r="126" spans="1:14" s="7" customFormat="1" ht="15" customHeight="1" thickBot="1">
      <c r="A126" s="1219"/>
      <c r="B126" s="1172"/>
      <c r="C126" s="1206" t="s">
        <v>118</v>
      </c>
      <c r="D126" s="1207"/>
      <c r="E126" s="1207"/>
      <c r="F126" s="1207"/>
      <c r="G126" s="1208"/>
      <c r="H126" s="715">
        <f>SUM(H124)</f>
        <v>72.2</v>
      </c>
      <c r="I126" s="716">
        <f>SUM(I124)</f>
        <v>72.633200000000002</v>
      </c>
      <c r="J126" s="716">
        <f>SUM(J124)</f>
        <v>73.068999200000007</v>
      </c>
      <c r="K126" s="221"/>
      <c r="L126" s="652"/>
      <c r="M126" s="652"/>
      <c r="N126" s="653"/>
    </row>
    <row r="127" spans="1:14" s="7" customFormat="1" ht="27" customHeight="1">
      <c r="A127" s="1219"/>
      <c r="B127" s="1210"/>
      <c r="C127" s="1309" t="s">
        <v>83</v>
      </c>
      <c r="D127" s="1310"/>
      <c r="E127" s="1310"/>
      <c r="F127" s="1233" t="s">
        <v>220</v>
      </c>
      <c r="G127" s="1149" t="s">
        <v>121</v>
      </c>
      <c r="H127" s="1151">
        <f>137.2-72.2</f>
        <v>64.999999999999986</v>
      </c>
      <c r="I127" s="1151">
        <f>H127*1.006</f>
        <v>65.389999999999986</v>
      </c>
      <c r="J127" s="1151">
        <f>I127*1.006</f>
        <v>65.782339999999991</v>
      </c>
      <c r="K127" s="541" t="s">
        <v>166</v>
      </c>
      <c r="L127" s="648">
        <v>750</v>
      </c>
      <c r="M127" s="648">
        <v>750</v>
      </c>
      <c r="N127" s="649">
        <v>750</v>
      </c>
    </row>
    <row r="128" spans="1:14" s="7" customFormat="1" ht="15" customHeight="1">
      <c r="A128" s="1219"/>
      <c r="B128" s="1210"/>
      <c r="C128" s="1349"/>
      <c r="D128" s="1169"/>
      <c r="E128" s="1169"/>
      <c r="F128" s="1190"/>
      <c r="G128" s="1353"/>
      <c r="H128" s="1326"/>
      <c r="I128" s="1326"/>
      <c r="J128" s="1326"/>
      <c r="K128" s="1168" t="s">
        <v>165</v>
      </c>
      <c r="L128" s="1270">
        <v>180</v>
      </c>
      <c r="M128" s="1270">
        <v>180</v>
      </c>
      <c r="N128" s="1272">
        <v>180</v>
      </c>
    </row>
    <row r="129" spans="1:16" s="129" customFormat="1" ht="17.25" customHeight="1">
      <c r="A129" s="1219"/>
      <c r="B129" s="1210"/>
      <c r="C129" s="1349"/>
      <c r="D129" s="1169"/>
      <c r="E129" s="1169"/>
      <c r="F129" s="1190"/>
      <c r="G129" s="1353"/>
      <c r="H129" s="1326"/>
      <c r="I129" s="1326"/>
      <c r="J129" s="1326"/>
      <c r="K129" s="1169"/>
      <c r="L129" s="1271"/>
      <c r="M129" s="1271"/>
      <c r="N129" s="1273"/>
    </row>
    <row r="130" spans="1:16" s="319" customFormat="1" ht="33" customHeight="1" thickBot="1">
      <c r="A130" s="1219"/>
      <c r="B130" s="1210"/>
      <c r="C130" s="1311"/>
      <c r="D130" s="1312"/>
      <c r="E130" s="1312"/>
      <c r="F130" s="1148"/>
      <c r="G130" s="1354"/>
      <c r="H130" s="1170"/>
      <c r="I130" s="1170"/>
      <c r="J130" s="1170"/>
      <c r="K130" s="502" t="s">
        <v>297</v>
      </c>
      <c r="L130" s="654">
        <v>10</v>
      </c>
      <c r="M130" s="654">
        <v>10</v>
      </c>
      <c r="N130" s="655">
        <v>10</v>
      </c>
    </row>
    <row r="131" spans="1:16" s="7" customFormat="1" ht="13.5" thickBot="1">
      <c r="A131" s="1219"/>
      <c r="B131" s="1172"/>
      <c r="C131" s="1223" t="s">
        <v>118</v>
      </c>
      <c r="D131" s="1224"/>
      <c r="E131" s="1224"/>
      <c r="F131" s="1224"/>
      <c r="G131" s="1225"/>
      <c r="H131" s="634">
        <f>SUM(H127:H128)</f>
        <v>64.999999999999986</v>
      </c>
      <c r="I131" s="635">
        <f>SUM(I127:I128)</f>
        <v>65.389999999999986</v>
      </c>
      <c r="J131" s="635">
        <f>SUM(J127:J128)</f>
        <v>65.782339999999991</v>
      </c>
      <c r="K131" s="153"/>
      <c r="L131" s="94"/>
      <c r="M131" s="94"/>
      <c r="N131" s="183"/>
    </row>
    <row r="132" spans="1:16" s="7" customFormat="1" ht="13.5" thickBot="1">
      <c r="A132" s="1219"/>
      <c r="B132" s="1153" t="s">
        <v>119</v>
      </c>
      <c r="C132" s="1154"/>
      <c r="D132" s="1154"/>
      <c r="E132" s="1154"/>
      <c r="F132" s="1154"/>
      <c r="G132" s="1155"/>
      <c r="H132" s="704">
        <f>H126+H131</f>
        <v>137.19999999999999</v>
      </c>
      <c r="I132" s="705">
        <f>I126+I131</f>
        <v>138.02319999999997</v>
      </c>
      <c r="J132" s="705">
        <f>J126+J131</f>
        <v>138.85133919999998</v>
      </c>
      <c r="K132" s="379"/>
      <c r="L132" s="546"/>
      <c r="M132" s="546"/>
      <c r="N132" s="545"/>
    </row>
    <row r="133" spans="1:16" s="7" customFormat="1" ht="13.5" thickBot="1">
      <c r="A133" s="1297" t="s">
        <v>303</v>
      </c>
      <c r="B133" s="1298"/>
      <c r="C133" s="1298"/>
      <c r="D133" s="1298"/>
      <c r="E133" s="1298"/>
      <c r="F133" s="1298"/>
      <c r="G133" s="1298"/>
      <c r="H133" s="708">
        <f>H123+H132</f>
        <v>398.59999999999997</v>
      </c>
      <c r="I133" s="671">
        <f>I123+I132</f>
        <v>400.99160000000001</v>
      </c>
      <c r="J133" s="671">
        <f>J123+J132</f>
        <v>403.39754960000005</v>
      </c>
      <c r="K133" s="381"/>
      <c r="L133" s="646"/>
      <c r="M133" s="164"/>
      <c r="N133" s="165"/>
    </row>
    <row r="134" spans="1:16" s="7" customFormat="1" ht="25.5" customHeight="1">
      <c r="A134" s="1218" t="s">
        <v>87</v>
      </c>
      <c r="B134" s="1171" t="s">
        <v>88</v>
      </c>
      <c r="C134" s="1165" t="s">
        <v>89</v>
      </c>
      <c r="D134" s="1289"/>
      <c r="E134" s="1290"/>
      <c r="F134" s="1161" t="s">
        <v>209</v>
      </c>
      <c r="G134" s="717" t="s">
        <v>121</v>
      </c>
      <c r="H134" s="618">
        <f>1254.3-13-132.5-56.3-14.1</f>
        <v>1038.4000000000001</v>
      </c>
      <c r="I134" s="557">
        <f>H134*1.006</f>
        <v>1044.6304</v>
      </c>
      <c r="J134" s="557">
        <f>I134*1.006</f>
        <v>1050.8981824</v>
      </c>
      <c r="K134" s="497" t="s">
        <v>436</v>
      </c>
      <c r="L134" s="689">
        <v>250000</v>
      </c>
      <c r="M134" s="689">
        <v>250000</v>
      </c>
      <c r="N134" s="690">
        <v>250000</v>
      </c>
    </row>
    <row r="135" spans="1:16" s="7" customFormat="1" ht="22.5">
      <c r="A135" s="1219"/>
      <c r="B135" s="1172"/>
      <c r="C135" s="1291"/>
      <c r="D135" s="1292"/>
      <c r="E135" s="1293"/>
      <c r="F135" s="1162"/>
      <c r="G135" s="1201" t="s">
        <v>122</v>
      </c>
      <c r="H135" s="1145">
        <v>14.1</v>
      </c>
      <c r="I135" s="1193">
        <f>H135*1.006</f>
        <v>14.1846</v>
      </c>
      <c r="J135" s="1193">
        <f>I135*1.006</f>
        <v>14.2697076</v>
      </c>
      <c r="K135" s="474" t="s">
        <v>439</v>
      </c>
      <c r="L135" s="625">
        <v>350</v>
      </c>
      <c r="M135" s="625">
        <v>350</v>
      </c>
      <c r="N135" s="626">
        <v>350</v>
      </c>
      <c r="P135" s="374"/>
    </row>
    <row r="136" spans="1:16" s="7" customFormat="1" ht="26.25" customHeight="1" thickBot="1">
      <c r="A136" s="1219"/>
      <c r="B136" s="1172"/>
      <c r="C136" s="1294"/>
      <c r="D136" s="1295"/>
      <c r="E136" s="1296"/>
      <c r="F136" s="1163"/>
      <c r="G136" s="1202"/>
      <c r="H136" s="1146"/>
      <c r="I136" s="1146"/>
      <c r="J136" s="1146"/>
      <c r="K136" s="474" t="s">
        <v>440</v>
      </c>
      <c r="L136" s="681">
        <v>335</v>
      </c>
      <c r="M136" s="681">
        <v>335</v>
      </c>
      <c r="N136" s="682">
        <v>336</v>
      </c>
    </row>
    <row r="137" spans="1:16" s="7" customFormat="1" ht="13.5" thickBot="1">
      <c r="A137" s="1219"/>
      <c r="B137" s="1172"/>
      <c r="C137" s="1185" t="s">
        <v>118</v>
      </c>
      <c r="D137" s="1154"/>
      <c r="E137" s="1154"/>
      <c r="F137" s="1154"/>
      <c r="G137" s="1155"/>
      <c r="H137" s="708">
        <f>SUM(H134:H136)</f>
        <v>1052.5</v>
      </c>
      <c r="I137" s="718">
        <f>SUM(I134:I136)</f>
        <v>1058.8150000000001</v>
      </c>
      <c r="J137" s="718">
        <f>SUM(J134:J136)</f>
        <v>1065.1678899999999</v>
      </c>
      <c r="K137" s="381"/>
      <c r="L137" s="156"/>
      <c r="M137" s="156"/>
      <c r="N137" s="169"/>
    </row>
    <row r="138" spans="1:16" s="7" customFormat="1" ht="40.5" customHeight="1" thickBot="1">
      <c r="A138" s="1219"/>
      <c r="B138" s="1172"/>
      <c r="C138" s="1174" t="s">
        <v>437</v>
      </c>
      <c r="D138" s="1174"/>
      <c r="E138" s="1175"/>
      <c r="F138" s="536" t="s">
        <v>209</v>
      </c>
      <c r="G138" s="719" t="s">
        <v>121</v>
      </c>
      <c r="H138" s="663">
        <v>13</v>
      </c>
      <c r="I138" s="557">
        <f>H138*1.006</f>
        <v>13.077999999999999</v>
      </c>
      <c r="J138" s="557">
        <f>I138*1.006</f>
        <v>13.156468</v>
      </c>
      <c r="K138" s="720" t="s">
        <v>438</v>
      </c>
      <c r="L138" s="689">
        <v>14</v>
      </c>
      <c r="M138" s="689">
        <v>14</v>
      </c>
      <c r="N138" s="690">
        <v>15</v>
      </c>
    </row>
    <row r="139" spans="1:16" s="7" customFormat="1" ht="13.5" thickBot="1">
      <c r="A139" s="1219"/>
      <c r="B139" s="1172"/>
      <c r="C139" s="1153" t="s">
        <v>118</v>
      </c>
      <c r="D139" s="1154"/>
      <c r="E139" s="1154"/>
      <c r="F139" s="1154"/>
      <c r="G139" s="1155"/>
      <c r="H139" s="704">
        <f>SUM(H138:H138)</f>
        <v>13</v>
      </c>
      <c r="I139" s="721">
        <f>SUM(I138:I138)</f>
        <v>13.077999999999999</v>
      </c>
      <c r="J139" s="721">
        <f>SUM(J138:J138)</f>
        <v>13.156468</v>
      </c>
      <c r="K139" s="398"/>
      <c r="L139" s="408"/>
      <c r="M139" s="408"/>
      <c r="N139" s="409"/>
    </row>
    <row r="140" spans="1:16" s="7" customFormat="1" ht="13.5" thickBot="1">
      <c r="A140" s="1219"/>
      <c r="B140" s="1153" t="s">
        <v>119</v>
      </c>
      <c r="C140" s="1154"/>
      <c r="D140" s="1154"/>
      <c r="E140" s="1154"/>
      <c r="F140" s="1154"/>
      <c r="G140" s="1154"/>
      <c r="H140" s="708">
        <f>H137+H139</f>
        <v>1065.5</v>
      </c>
      <c r="I140" s="671">
        <f>I137+I139</f>
        <v>1071.893</v>
      </c>
      <c r="J140" s="671">
        <f>J137+J139</f>
        <v>1078.3243579999998</v>
      </c>
      <c r="K140" s="139"/>
      <c r="L140" s="149"/>
      <c r="M140" s="149"/>
      <c r="N140" s="171"/>
    </row>
    <row r="141" spans="1:16" s="7" customFormat="1" ht="17.25" customHeight="1">
      <c r="A141" s="1219"/>
      <c r="B141" s="1238" t="s">
        <v>90</v>
      </c>
      <c r="C141" s="1156" t="s">
        <v>210</v>
      </c>
      <c r="D141" s="1157"/>
      <c r="E141" s="1158"/>
      <c r="F141" s="1228" t="s">
        <v>211</v>
      </c>
      <c r="G141" s="1359" t="s">
        <v>121</v>
      </c>
      <c r="H141" s="1334">
        <f>646-1.8</f>
        <v>644.20000000000005</v>
      </c>
      <c r="I141" s="1199">
        <f>H141*1.006</f>
        <v>648.0652</v>
      </c>
      <c r="J141" s="1199">
        <f>I141*1.006</f>
        <v>651.95359120000001</v>
      </c>
      <c r="K141" s="568" t="s">
        <v>300</v>
      </c>
      <c r="L141" s="552">
        <v>12300</v>
      </c>
      <c r="M141" s="552">
        <v>12400</v>
      </c>
      <c r="N141" s="637">
        <v>12400</v>
      </c>
    </row>
    <row r="142" spans="1:16" s="7" customFormat="1" ht="18" customHeight="1">
      <c r="A142" s="1219"/>
      <c r="B142" s="1239"/>
      <c r="C142" s="1235"/>
      <c r="D142" s="1236"/>
      <c r="E142" s="1237"/>
      <c r="F142" s="1162"/>
      <c r="G142" s="1360"/>
      <c r="H142" s="1335"/>
      <c r="I142" s="1336"/>
      <c r="J142" s="1336"/>
      <c r="K142" s="534" t="s">
        <v>299</v>
      </c>
      <c r="L142" s="625">
        <v>170000</v>
      </c>
      <c r="M142" s="625">
        <v>172000</v>
      </c>
      <c r="N142" s="626">
        <v>172000</v>
      </c>
    </row>
    <row r="143" spans="1:16" s="319" customFormat="1" ht="25.5" customHeight="1">
      <c r="A143" s="1219"/>
      <c r="B143" s="1239"/>
      <c r="C143" s="1235"/>
      <c r="D143" s="1236"/>
      <c r="E143" s="1237"/>
      <c r="F143" s="1162"/>
      <c r="G143" s="1332" t="s">
        <v>122</v>
      </c>
      <c r="H143" s="1337">
        <v>1.8</v>
      </c>
      <c r="I143" s="1193">
        <f>H143*1.006</f>
        <v>1.8108</v>
      </c>
      <c r="J143" s="1193">
        <f>I143*1.006</f>
        <v>1.8216648</v>
      </c>
      <c r="K143" s="722" t="s">
        <v>532</v>
      </c>
      <c r="L143" s="681">
        <v>700</v>
      </c>
      <c r="M143" s="681">
        <v>750</v>
      </c>
      <c r="N143" s="682">
        <v>750</v>
      </c>
    </row>
    <row r="144" spans="1:16" s="319" customFormat="1" ht="38.25" customHeight="1">
      <c r="A144" s="1219"/>
      <c r="B144" s="1239"/>
      <c r="C144" s="1235"/>
      <c r="D144" s="1236"/>
      <c r="E144" s="1237"/>
      <c r="F144" s="1162"/>
      <c r="G144" s="1192"/>
      <c r="H144" s="1338"/>
      <c r="I144" s="1200"/>
      <c r="J144" s="1200"/>
      <c r="K144" s="722" t="s">
        <v>533</v>
      </c>
      <c r="L144" s="681">
        <v>13000</v>
      </c>
      <c r="M144" s="681">
        <v>12500</v>
      </c>
      <c r="N144" s="682">
        <v>12000</v>
      </c>
    </row>
    <row r="145" spans="1:14" s="7" customFormat="1" ht="29.25" customHeight="1" thickBot="1">
      <c r="A145" s="1219"/>
      <c r="B145" s="1239"/>
      <c r="C145" s="1235"/>
      <c r="D145" s="1236"/>
      <c r="E145" s="1237"/>
      <c r="F145" s="1162"/>
      <c r="G145" s="1333"/>
      <c r="H145" s="1325"/>
      <c r="I145" s="1146"/>
      <c r="J145" s="1146"/>
      <c r="K145" s="501" t="s">
        <v>534</v>
      </c>
      <c r="L145" s="658">
        <v>1000</v>
      </c>
      <c r="M145" s="658">
        <v>1000</v>
      </c>
      <c r="N145" s="659">
        <v>1000</v>
      </c>
    </row>
    <row r="146" spans="1:14" s="7" customFormat="1" ht="13.5" thickBot="1">
      <c r="A146" s="1219"/>
      <c r="B146" s="1239"/>
      <c r="C146" s="1153" t="s">
        <v>118</v>
      </c>
      <c r="D146" s="1154"/>
      <c r="E146" s="1154"/>
      <c r="F146" s="1154"/>
      <c r="G146" s="1155"/>
      <c r="H146" s="708">
        <f>SUM(H141:H145)</f>
        <v>646</v>
      </c>
      <c r="I146" s="718">
        <f>SUM(I141:I144)</f>
        <v>649.87599999999998</v>
      </c>
      <c r="J146" s="718">
        <f>SUM(J141:J144)</f>
        <v>653.77525600000001</v>
      </c>
      <c r="K146" s="139"/>
      <c r="L146" s="164"/>
      <c r="M146" s="164"/>
      <c r="N146" s="165"/>
    </row>
    <row r="147" spans="1:14" s="7" customFormat="1" ht="13.5" thickBot="1">
      <c r="A147" s="1219"/>
      <c r="B147" s="1153" t="s">
        <v>119</v>
      </c>
      <c r="C147" s="1154"/>
      <c r="D147" s="1154"/>
      <c r="E147" s="1154"/>
      <c r="F147" s="1154"/>
      <c r="G147" s="1155"/>
      <c r="H147" s="708">
        <f>H146</f>
        <v>646</v>
      </c>
      <c r="I147" s="671">
        <f>I146</f>
        <v>649.87599999999998</v>
      </c>
      <c r="J147" s="671">
        <f>J146</f>
        <v>653.77525600000001</v>
      </c>
      <c r="K147" s="139"/>
      <c r="L147" s="164"/>
      <c r="M147" s="164"/>
      <c r="N147" s="165"/>
    </row>
    <row r="148" spans="1:14" s="7" customFormat="1" ht="21.75" customHeight="1">
      <c r="A148" s="1219"/>
      <c r="B148" s="1184" t="s">
        <v>91</v>
      </c>
      <c r="C148" s="1176" t="s">
        <v>92</v>
      </c>
      <c r="D148" s="1177"/>
      <c r="E148" s="1177"/>
      <c r="F148" s="1161" t="s">
        <v>209</v>
      </c>
      <c r="G148" s="1197" t="s">
        <v>121</v>
      </c>
      <c r="H148" s="1199">
        <f>132.5-13</f>
        <v>119.5</v>
      </c>
      <c r="I148" s="1199">
        <f>H148*1.006</f>
        <v>120.217</v>
      </c>
      <c r="J148" s="1199">
        <f>I148*1.006</f>
        <v>120.93830199999999</v>
      </c>
      <c r="K148" s="723" t="s">
        <v>535</v>
      </c>
      <c r="L148" s="552">
        <v>8500</v>
      </c>
      <c r="M148" s="552">
        <v>8500</v>
      </c>
      <c r="N148" s="637">
        <v>8500</v>
      </c>
    </row>
    <row r="149" spans="1:14" s="319" customFormat="1" ht="27" customHeight="1">
      <c r="A149" s="1219"/>
      <c r="B149" s="1184"/>
      <c r="C149" s="1178"/>
      <c r="D149" s="1179"/>
      <c r="E149" s="1179"/>
      <c r="F149" s="1162"/>
      <c r="G149" s="1339"/>
      <c r="H149" s="1200"/>
      <c r="I149" s="1200"/>
      <c r="J149" s="1200"/>
      <c r="K149" s="723" t="s">
        <v>537</v>
      </c>
      <c r="L149" s="689">
        <v>20</v>
      </c>
      <c r="M149" s="689">
        <v>20</v>
      </c>
      <c r="N149" s="690">
        <v>20</v>
      </c>
    </row>
    <row r="150" spans="1:14" s="319" customFormat="1" ht="27" customHeight="1">
      <c r="A150" s="1219"/>
      <c r="B150" s="1184"/>
      <c r="C150" s="1178"/>
      <c r="D150" s="1179"/>
      <c r="E150" s="1179"/>
      <c r="F150" s="1162"/>
      <c r="G150" s="1339"/>
      <c r="H150" s="1200"/>
      <c r="I150" s="1200"/>
      <c r="J150" s="1200"/>
      <c r="K150" s="723" t="s">
        <v>536</v>
      </c>
      <c r="L150" s="689">
        <v>200</v>
      </c>
      <c r="M150" s="689">
        <v>200</v>
      </c>
      <c r="N150" s="690">
        <v>200</v>
      </c>
    </row>
    <row r="151" spans="1:14" s="7" customFormat="1" ht="24.75" customHeight="1">
      <c r="A151" s="1219"/>
      <c r="B151" s="1172"/>
      <c r="C151" s="1180"/>
      <c r="D151" s="1181"/>
      <c r="E151" s="1181"/>
      <c r="F151" s="1162"/>
      <c r="G151" s="1339"/>
      <c r="H151" s="1200"/>
      <c r="I151" s="1200"/>
      <c r="J151" s="1200"/>
      <c r="K151" s="720" t="s">
        <v>441</v>
      </c>
      <c r="L151" s="625">
        <v>56000</v>
      </c>
      <c r="M151" s="625">
        <v>57000</v>
      </c>
      <c r="N151" s="626">
        <v>58000</v>
      </c>
    </row>
    <row r="152" spans="1:14" s="319" customFormat="1" ht="26.25" customHeight="1" thickBot="1">
      <c r="A152" s="1219"/>
      <c r="B152" s="1172"/>
      <c r="C152" s="1182"/>
      <c r="D152" s="1183"/>
      <c r="E152" s="1183"/>
      <c r="F152" s="1163"/>
      <c r="G152" s="1198"/>
      <c r="H152" s="1146"/>
      <c r="I152" s="1146"/>
      <c r="J152" s="1146"/>
      <c r="K152" s="501" t="s">
        <v>444</v>
      </c>
      <c r="L152" s="658">
        <v>10</v>
      </c>
      <c r="M152" s="658">
        <v>10</v>
      </c>
      <c r="N152" s="659">
        <v>10</v>
      </c>
    </row>
    <row r="153" spans="1:14" s="7" customFormat="1" ht="13.5" thickBot="1">
      <c r="A153" s="1219"/>
      <c r="B153" s="1172"/>
      <c r="C153" s="1185" t="s">
        <v>118</v>
      </c>
      <c r="D153" s="1154"/>
      <c r="E153" s="1154"/>
      <c r="F153" s="1154"/>
      <c r="G153" s="1155"/>
      <c r="H153" s="708">
        <f>SUM(H148:H151)</f>
        <v>119.5</v>
      </c>
      <c r="I153" s="718">
        <f>SUM(I148:I150)</f>
        <v>120.217</v>
      </c>
      <c r="J153" s="718">
        <f>SUM(J148:J150)</f>
        <v>120.93830199999999</v>
      </c>
      <c r="K153" s="152"/>
      <c r="L153" s="164"/>
      <c r="M153" s="164"/>
      <c r="N153" s="165"/>
    </row>
    <row r="154" spans="1:14" s="7" customFormat="1" ht="22.5" customHeight="1">
      <c r="A154" s="1219"/>
      <c r="B154" s="1172"/>
      <c r="C154" s="1186" t="s">
        <v>221</v>
      </c>
      <c r="D154" s="1187"/>
      <c r="E154" s="1187"/>
      <c r="F154" s="1189" t="s">
        <v>209</v>
      </c>
      <c r="G154" s="1191" t="s">
        <v>121</v>
      </c>
      <c r="H154" s="1331">
        <v>13</v>
      </c>
      <c r="I154" s="1331">
        <f>H154*1.006</f>
        <v>13.077999999999999</v>
      </c>
      <c r="J154" s="1331">
        <f>I154*1.006</f>
        <v>13.156468</v>
      </c>
      <c r="K154" s="724" t="s">
        <v>442</v>
      </c>
      <c r="L154" s="689">
        <v>1000</v>
      </c>
      <c r="M154" s="689">
        <v>1000</v>
      </c>
      <c r="N154" s="690">
        <v>1000</v>
      </c>
    </row>
    <row r="155" spans="1:14" s="129" customFormat="1" ht="22.5" customHeight="1" thickBot="1">
      <c r="A155" s="1219"/>
      <c r="B155" s="1172"/>
      <c r="C155" s="1188"/>
      <c r="D155" s="1169"/>
      <c r="E155" s="1169"/>
      <c r="F155" s="1190"/>
      <c r="G155" s="1192"/>
      <c r="H155" s="1326"/>
      <c r="I155" s="1326"/>
      <c r="J155" s="1326"/>
      <c r="K155" s="725" t="s">
        <v>443</v>
      </c>
      <c r="L155" s="625">
        <v>2</v>
      </c>
      <c r="M155" s="625">
        <v>2</v>
      </c>
      <c r="N155" s="626">
        <v>2</v>
      </c>
    </row>
    <row r="156" spans="1:14" s="7" customFormat="1" ht="13.5" thickBot="1">
      <c r="A156" s="1219"/>
      <c r="B156" s="1173"/>
      <c r="C156" s="1185" t="s">
        <v>118</v>
      </c>
      <c r="D156" s="1154"/>
      <c r="E156" s="1154"/>
      <c r="F156" s="1154"/>
      <c r="G156" s="1155"/>
      <c r="H156" s="708">
        <f>H154</f>
        <v>13</v>
      </c>
      <c r="I156" s="718">
        <f>I154</f>
        <v>13.077999999999999</v>
      </c>
      <c r="J156" s="718">
        <f>J154</f>
        <v>13.156468</v>
      </c>
      <c r="K156" s="152"/>
      <c r="L156" s="164"/>
      <c r="M156" s="164"/>
      <c r="N156" s="165"/>
    </row>
    <row r="157" spans="1:14" s="7" customFormat="1" ht="13.5" thickBot="1">
      <c r="A157" s="1219"/>
      <c r="B157" s="1153" t="s">
        <v>119</v>
      </c>
      <c r="C157" s="1154"/>
      <c r="D157" s="1154"/>
      <c r="E157" s="1154"/>
      <c r="F157" s="1154"/>
      <c r="G157" s="1155"/>
      <c r="H157" s="708">
        <f>H153+H156</f>
        <v>132.5</v>
      </c>
      <c r="I157" s="718">
        <f>I153+I156</f>
        <v>133.29499999999999</v>
      </c>
      <c r="J157" s="718">
        <f>J153+J156</f>
        <v>134.09476999999998</v>
      </c>
      <c r="K157" s="152"/>
      <c r="L157" s="164"/>
      <c r="M157" s="656"/>
      <c r="N157" s="657"/>
    </row>
    <row r="158" spans="1:14" s="7" customFormat="1" ht="21.75" customHeight="1">
      <c r="A158" s="1219"/>
      <c r="B158" s="1171" t="s">
        <v>531</v>
      </c>
      <c r="C158" s="1156" t="s">
        <v>35</v>
      </c>
      <c r="D158" s="1157"/>
      <c r="E158" s="1158"/>
      <c r="F158" s="1228" t="s">
        <v>209</v>
      </c>
      <c r="G158" s="1197" t="s">
        <v>121</v>
      </c>
      <c r="H158" s="1324">
        <v>56.3</v>
      </c>
      <c r="I158" s="1199">
        <f>H158*1.006</f>
        <v>56.637799999999999</v>
      </c>
      <c r="J158" s="1199">
        <f>I158*1.006</f>
        <v>56.977626799999996</v>
      </c>
      <c r="K158" s="723" t="s">
        <v>445</v>
      </c>
      <c r="L158" s="726">
        <v>2000</v>
      </c>
      <c r="M158" s="726">
        <v>2000</v>
      </c>
      <c r="N158" s="727">
        <v>2000</v>
      </c>
    </row>
    <row r="159" spans="1:14" s="7" customFormat="1" ht="24.75" customHeight="1" thickBot="1">
      <c r="A159" s="1219"/>
      <c r="B159" s="1172"/>
      <c r="C159" s="1194"/>
      <c r="D159" s="1195"/>
      <c r="E159" s="1196"/>
      <c r="F159" s="1163"/>
      <c r="G159" s="1198"/>
      <c r="H159" s="1325"/>
      <c r="I159" s="1146"/>
      <c r="J159" s="1146"/>
      <c r="K159" s="723" t="s">
        <v>446</v>
      </c>
      <c r="L159" s="728">
        <v>20</v>
      </c>
      <c r="M159" s="728">
        <v>20</v>
      </c>
      <c r="N159" s="729">
        <v>20</v>
      </c>
    </row>
    <row r="160" spans="1:14" s="7" customFormat="1" ht="13.5" thickBot="1">
      <c r="A160" s="1219"/>
      <c r="B160" s="1173"/>
      <c r="C160" s="1153" t="s">
        <v>118</v>
      </c>
      <c r="D160" s="1154"/>
      <c r="E160" s="1154"/>
      <c r="F160" s="1154"/>
      <c r="G160" s="1155"/>
      <c r="H160" s="708">
        <f>SUM(H158:H159)</f>
        <v>56.3</v>
      </c>
      <c r="I160" s="718">
        <f>SUM(I158:I159)</f>
        <v>56.637799999999999</v>
      </c>
      <c r="J160" s="718">
        <f>SUM(J158:J159)</f>
        <v>56.977626799999996</v>
      </c>
      <c r="K160" s="139"/>
      <c r="L160" s="164"/>
      <c r="M160" s="164"/>
      <c r="N160" s="165"/>
    </row>
    <row r="161" spans="1:14" s="7" customFormat="1" ht="13.5" thickBot="1">
      <c r="A161" s="1219"/>
      <c r="B161" s="1153" t="s">
        <v>119</v>
      </c>
      <c r="C161" s="1154"/>
      <c r="D161" s="1154"/>
      <c r="E161" s="1154"/>
      <c r="F161" s="1154"/>
      <c r="G161" s="1155"/>
      <c r="H161" s="708">
        <f>H160</f>
        <v>56.3</v>
      </c>
      <c r="I161" s="671">
        <f>I160</f>
        <v>56.637799999999999</v>
      </c>
      <c r="J161" s="671">
        <f>J160</f>
        <v>56.977626799999996</v>
      </c>
      <c r="K161" s="139"/>
      <c r="L161" s="164"/>
      <c r="M161" s="164"/>
      <c r="N161" s="165"/>
    </row>
    <row r="162" spans="1:14" s="7" customFormat="1" ht="14.25" customHeight="1">
      <c r="A162" s="1219"/>
      <c r="B162" s="1171" t="s">
        <v>169</v>
      </c>
      <c r="C162" s="1165" t="s">
        <v>168</v>
      </c>
      <c r="D162" s="1157"/>
      <c r="E162" s="1158"/>
      <c r="F162" s="1161" t="s">
        <v>447</v>
      </c>
      <c r="G162" s="730" t="s">
        <v>121</v>
      </c>
      <c r="H162" s="538">
        <f>962-59.2-5-2.5-54.2</f>
        <v>841.09999999999991</v>
      </c>
      <c r="I162" s="538">
        <f t="shared" ref="I162:J164" si="12">H162*1.006</f>
        <v>846.14659999999992</v>
      </c>
      <c r="J162" s="538">
        <f t="shared" si="12"/>
        <v>851.22347959999991</v>
      </c>
      <c r="K162" s="731" t="s">
        <v>301</v>
      </c>
      <c r="L162" s="552">
        <v>580</v>
      </c>
      <c r="M162" s="552">
        <v>585</v>
      </c>
      <c r="N162" s="637">
        <v>590</v>
      </c>
    </row>
    <row r="163" spans="1:14" s="7" customFormat="1" ht="29.25" customHeight="1">
      <c r="A163" s="1219"/>
      <c r="B163" s="1172"/>
      <c r="C163" s="1235"/>
      <c r="D163" s="1236"/>
      <c r="E163" s="1237"/>
      <c r="F163" s="1229"/>
      <c r="G163" s="732" t="s">
        <v>135</v>
      </c>
      <c r="H163" s="616">
        <v>59.2</v>
      </c>
      <c r="I163" s="616">
        <f t="shared" si="12"/>
        <v>59.555200000000006</v>
      </c>
      <c r="J163" s="616">
        <f t="shared" si="12"/>
        <v>59.912531200000004</v>
      </c>
      <c r="K163" s="501" t="s">
        <v>448</v>
      </c>
      <c r="L163" s="625">
        <v>50</v>
      </c>
      <c r="M163" s="625">
        <v>55</v>
      </c>
      <c r="N163" s="626">
        <v>60</v>
      </c>
    </row>
    <row r="164" spans="1:14" s="7" customFormat="1" ht="29.25" customHeight="1" thickBot="1">
      <c r="A164" s="1219"/>
      <c r="B164" s="1172"/>
      <c r="C164" s="1194"/>
      <c r="D164" s="1195"/>
      <c r="E164" s="1196"/>
      <c r="F164" s="1229"/>
      <c r="G164" s="677" t="s">
        <v>122</v>
      </c>
      <c r="H164" s="562">
        <v>54.2</v>
      </c>
      <c r="I164" s="562">
        <f t="shared" si="12"/>
        <v>54.525200000000005</v>
      </c>
      <c r="J164" s="562">
        <f t="shared" si="12"/>
        <v>54.852351200000008</v>
      </c>
      <c r="K164" s="501" t="s">
        <v>449</v>
      </c>
      <c r="L164" s="625">
        <v>8</v>
      </c>
      <c r="M164" s="625">
        <v>10</v>
      </c>
      <c r="N164" s="626">
        <v>10</v>
      </c>
    </row>
    <row r="165" spans="1:14" s="7" customFormat="1" ht="13.5" thickBot="1">
      <c r="A165" s="1219"/>
      <c r="B165" s="1172"/>
      <c r="C165" s="1159" t="s">
        <v>118</v>
      </c>
      <c r="D165" s="1264"/>
      <c r="E165" s="1264"/>
      <c r="F165" s="1264"/>
      <c r="G165" s="1265"/>
      <c r="H165" s="376">
        <f>SUM(H162:H164)</f>
        <v>954.5</v>
      </c>
      <c r="I165" s="375">
        <f>SUM(I162:I164)</f>
        <v>960.22699999999998</v>
      </c>
      <c r="J165" s="375">
        <f>SUM(J162:J164)</f>
        <v>965.98836199999994</v>
      </c>
      <c r="K165" s="385"/>
      <c r="L165" s="548"/>
      <c r="M165" s="548"/>
      <c r="N165" s="549"/>
    </row>
    <row r="166" spans="1:14" s="7" customFormat="1" ht="35.25" customHeight="1">
      <c r="A166" s="1219"/>
      <c r="B166" s="1210"/>
      <c r="C166" s="1165" t="s">
        <v>219</v>
      </c>
      <c r="D166" s="1166"/>
      <c r="E166" s="1167"/>
      <c r="F166" s="1233" t="s">
        <v>447</v>
      </c>
      <c r="G166" s="1149" t="s">
        <v>121</v>
      </c>
      <c r="H166" s="1151">
        <v>7.5</v>
      </c>
      <c r="I166" s="1151">
        <f>H166*1.006</f>
        <v>7.5449999999999999</v>
      </c>
      <c r="J166" s="1351">
        <f>I166*1.006</f>
        <v>7.5902700000000003</v>
      </c>
      <c r="K166" s="492" t="s">
        <v>450</v>
      </c>
      <c r="L166" s="552">
        <v>164</v>
      </c>
      <c r="M166" s="552"/>
      <c r="N166" s="637"/>
    </row>
    <row r="167" spans="1:14" s="319" customFormat="1" ht="35.25" customHeight="1" thickBot="1">
      <c r="A167" s="1219"/>
      <c r="B167" s="1210"/>
      <c r="C167" s="1230"/>
      <c r="D167" s="1231"/>
      <c r="E167" s="1232"/>
      <c r="F167" s="1148"/>
      <c r="G167" s="1150"/>
      <c r="H167" s="1170"/>
      <c r="I167" s="1170"/>
      <c r="J167" s="1352"/>
      <c r="K167" s="502" t="s">
        <v>451</v>
      </c>
      <c r="L167" s="658">
        <v>80</v>
      </c>
      <c r="M167" s="658">
        <v>90</v>
      </c>
      <c r="N167" s="659">
        <v>100</v>
      </c>
    </row>
    <row r="168" spans="1:14" s="7" customFormat="1" ht="13.5" thickBot="1">
      <c r="A168" s="1219"/>
      <c r="B168" s="1172"/>
      <c r="C168" s="1206" t="s">
        <v>118</v>
      </c>
      <c r="D168" s="1226"/>
      <c r="E168" s="1226"/>
      <c r="F168" s="1226"/>
      <c r="G168" s="1227"/>
      <c r="H168" s="634">
        <f>SUM(H166:H166)</f>
        <v>7.5</v>
      </c>
      <c r="I168" s="668">
        <f>SUM(I166:I166)</f>
        <v>7.5449999999999999</v>
      </c>
      <c r="J168" s="668">
        <f>SUM(J166:J166)</f>
        <v>7.5902700000000003</v>
      </c>
      <c r="K168" s="153"/>
      <c r="L168" s="338"/>
      <c r="M168" s="338"/>
      <c r="N168" s="337"/>
    </row>
    <row r="169" spans="1:14" s="7" customFormat="1" ht="13.5" thickBot="1">
      <c r="A169" s="1219"/>
      <c r="B169" s="1153" t="s">
        <v>119</v>
      </c>
      <c r="C169" s="1211"/>
      <c r="D169" s="1211"/>
      <c r="E169" s="1211"/>
      <c r="F169" s="1211"/>
      <c r="G169" s="1212"/>
      <c r="H169" s="668">
        <f>H165+H168</f>
        <v>962</v>
      </c>
      <c r="I169" s="668">
        <f>I165+I168</f>
        <v>967.77199999999993</v>
      </c>
      <c r="J169" s="668">
        <f>J165+J168</f>
        <v>973.57863199999997</v>
      </c>
      <c r="K169" s="153"/>
      <c r="L169" s="338"/>
      <c r="M169" s="338"/>
      <c r="N169" s="337"/>
    </row>
    <row r="170" spans="1:14" s="7" customFormat="1" ht="13.5" thickBot="1">
      <c r="A170" s="1220" t="s">
        <v>303</v>
      </c>
      <c r="B170" s="1221"/>
      <c r="C170" s="1221"/>
      <c r="D170" s="1221"/>
      <c r="E170" s="1221"/>
      <c r="F170" s="1221"/>
      <c r="G170" s="1222"/>
      <c r="H170" s="733">
        <f>H140+H147+H157+H161+H169</f>
        <v>2862.3</v>
      </c>
      <c r="I170" s="734">
        <f>I140+I147+I157+I161+I169</f>
        <v>2879.4737999999998</v>
      </c>
      <c r="J170" s="734">
        <f>J140+J147+J157+J161+J169</f>
        <v>2896.7506427999997</v>
      </c>
      <c r="K170" s="136"/>
      <c r="L170" s="164"/>
      <c r="M170" s="164"/>
      <c r="N170" s="165"/>
    </row>
    <row r="171" spans="1:14" s="7" customFormat="1" ht="16.5" customHeight="1">
      <c r="A171" s="1214" t="s">
        <v>93</v>
      </c>
      <c r="B171" s="1171" t="s">
        <v>94</v>
      </c>
      <c r="C171" s="1165" t="s">
        <v>95</v>
      </c>
      <c r="D171" s="1340"/>
      <c r="E171" s="1341"/>
      <c r="F171" s="542" t="s">
        <v>178</v>
      </c>
      <c r="G171" s="730" t="s">
        <v>121</v>
      </c>
      <c r="H171" s="735">
        <f>1586-692-31.9-95</f>
        <v>767.1</v>
      </c>
      <c r="I171" s="538">
        <f t="shared" ref="I171:J173" si="13">H171*1.006</f>
        <v>771.70260000000007</v>
      </c>
      <c r="J171" s="538">
        <f t="shared" si="13"/>
        <v>776.33281560000012</v>
      </c>
      <c r="K171" s="568" t="s">
        <v>797</v>
      </c>
      <c r="L171" s="552">
        <v>8</v>
      </c>
      <c r="M171" s="552">
        <v>8</v>
      </c>
      <c r="N171" s="637">
        <v>8</v>
      </c>
    </row>
    <row r="172" spans="1:14" s="7" customFormat="1" ht="22.5">
      <c r="A172" s="1215"/>
      <c r="B172" s="1172"/>
      <c r="C172" s="1299"/>
      <c r="D172" s="1174"/>
      <c r="E172" s="1175"/>
      <c r="F172" s="736" t="s">
        <v>178</v>
      </c>
      <c r="G172" s="737" t="s">
        <v>135</v>
      </c>
      <c r="H172" s="620">
        <v>31.9</v>
      </c>
      <c r="I172" s="556">
        <f t="shared" si="13"/>
        <v>32.0914</v>
      </c>
      <c r="J172" s="556">
        <f t="shared" si="13"/>
        <v>32.2839484</v>
      </c>
      <c r="K172" s="501" t="s">
        <v>798</v>
      </c>
      <c r="L172" s="625">
        <v>472</v>
      </c>
      <c r="M172" s="625">
        <v>500</v>
      </c>
      <c r="N172" s="626">
        <v>525</v>
      </c>
    </row>
    <row r="173" spans="1:14" s="7" customFormat="1" ht="14.25" customHeight="1">
      <c r="A173" s="1215"/>
      <c r="B173" s="1172"/>
      <c r="C173" s="1235"/>
      <c r="D173" s="1236"/>
      <c r="E173" s="1237"/>
      <c r="F173" s="1342" t="s">
        <v>178</v>
      </c>
      <c r="G173" s="1332" t="s">
        <v>122</v>
      </c>
      <c r="H173" s="1343">
        <v>95</v>
      </c>
      <c r="I173" s="1343">
        <f t="shared" si="13"/>
        <v>95.570000000000007</v>
      </c>
      <c r="J173" s="1343">
        <f t="shared" si="13"/>
        <v>96.143420000000006</v>
      </c>
      <c r="K173" s="534" t="s">
        <v>799</v>
      </c>
      <c r="L173" s="625">
        <v>371</v>
      </c>
      <c r="M173" s="625">
        <v>380</v>
      </c>
      <c r="N173" s="626">
        <v>385</v>
      </c>
    </row>
    <row r="174" spans="1:14" s="129" customFormat="1">
      <c r="A174" s="1215"/>
      <c r="B174" s="1172"/>
      <c r="C174" s="1235"/>
      <c r="D174" s="1236"/>
      <c r="E174" s="1237"/>
      <c r="F174" s="1190"/>
      <c r="G174" s="1192"/>
      <c r="H174" s="1326"/>
      <c r="I174" s="1326"/>
      <c r="J174" s="1326"/>
      <c r="K174" s="501" t="s">
        <v>800</v>
      </c>
      <c r="L174" s="625">
        <v>2500</v>
      </c>
      <c r="M174" s="625">
        <v>2800</v>
      </c>
      <c r="N174" s="626">
        <v>3000</v>
      </c>
    </row>
    <row r="175" spans="1:14" s="309" customFormat="1" ht="13.5" thickBot="1">
      <c r="A175" s="1215"/>
      <c r="B175" s="1172"/>
      <c r="C175" s="1194"/>
      <c r="D175" s="1195"/>
      <c r="E175" s="1196"/>
      <c r="F175" s="1148"/>
      <c r="G175" s="1150"/>
      <c r="H175" s="1170"/>
      <c r="I175" s="1170"/>
      <c r="J175" s="1170"/>
      <c r="K175" s="502" t="s">
        <v>801</v>
      </c>
      <c r="L175" s="658">
        <v>12</v>
      </c>
      <c r="M175" s="658">
        <v>12</v>
      </c>
      <c r="N175" s="659">
        <v>12</v>
      </c>
    </row>
    <row r="176" spans="1:14" s="7" customFormat="1" ht="13.5" thickBot="1">
      <c r="A176" s="1215"/>
      <c r="B176" s="1173"/>
      <c r="C176" s="1153" t="s">
        <v>118</v>
      </c>
      <c r="D176" s="1154"/>
      <c r="E176" s="1154"/>
      <c r="F176" s="1154"/>
      <c r="G176" s="1155"/>
      <c r="H176" s="708">
        <f>SUM(H171:H173)</f>
        <v>894</v>
      </c>
      <c r="I176" s="671">
        <f>SUM(I171:I173)</f>
        <v>899.36400000000015</v>
      </c>
      <c r="J176" s="671">
        <f>SUM(J171:J173)</f>
        <v>904.76018400000009</v>
      </c>
      <c r="K176" s="152"/>
      <c r="L176" s="164"/>
      <c r="M176" s="164"/>
      <c r="N176" s="165"/>
    </row>
    <row r="177" spans="1:14" s="7" customFormat="1" ht="13.5" thickBot="1">
      <c r="A177" s="1215"/>
      <c r="B177" s="1153" t="s">
        <v>119</v>
      </c>
      <c r="C177" s="1160"/>
      <c r="D177" s="1160"/>
      <c r="E177" s="1160"/>
      <c r="F177" s="1160"/>
      <c r="G177" s="1164"/>
      <c r="H177" s="704">
        <f>H176</f>
        <v>894</v>
      </c>
      <c r="I177" s="705">
        <f>I176</f>
        <v>899.36400000000015</v>
      </c>
      <c r="J177" s="705">
        <f>J176</f>
        <v>904.76018400000009</v>
      </c>
      <c r="K177" s="310"/>
      <c r="L177" s="546"/>
      <c r="M177" s="546"/>
      <c r="N177" s="545"/>
    </row>
    <row r="178" spans="1:14" s="7" customFormat="1" ht="22.5">
      <c r="A178" s="1215"/>
      <c r="B178" s="1209" t="s">
        <v>36</v>
      </c>
      <c r="C178" s="1309" t="s">
        <v>37</v>
      </c>
      <c r="D178" s="1348"/>
      <c r="E178" s="1348"/>
      <c r="F178" s="1350" t="s">
        <v>178</v>
      </c>
      <c r="G178" s="1149" t="s">
        <v>121</v>
      </c>
      <c r="H178" s="1151">
        <f>692-350-30</f>
        <v>312</v>
      </c>
      <c r="I178" s="1151">
        <f>H178*1.006</f>
        <v>313.87200000000001</v>
      </c>
      <c r="J178" s="1151">
        <f>I178*1.006</f>
        <v>315.75523200000003</v>
      </c>
      <c r="K178" s="492" t="s">
        <v>337</v>
      </c>
      <c r="L178" s="552">
        <v>1100</v>
      </c>
      <c r="M178" s="552">
        <v>1200</v>
      </c>
      <c r="N178" s="637">
        <v>1250</v>
      </c>
    </row>
    <row r="179" spans="1:14" s="309" customFormat="1" ht="24.75" customHeight="1">
      <c r="A179" s="1215"/>
      <c r="B179" s="1209"/>
      <c r="C179" s="1349"/>
      <c r="D179" s="1169"/>
      <c r="E179" s="1169"/>
      <c r="F179" s="1190"/>
      <c r="G179" s="1192"/>
      <c r="H179" s="1326"/>
      <c r="I179" s="1326"/>
      <c r="J179" s="1326"/>
      <c r="K179" s="501" t="s">
        <v>336</v>
      </c>
      <c r="L179" s="625">
        <v>23</v>
      </c>
      <c r="M179" s="625">
        <v>23</v>
      </c>
      <c r="N179" s="626">
        <v>23</v>
      </c>
    </row>
    <row r="180" spans="1:14" s="436" customFormat="1" ht="24.75" customHeight="1" thickBot="1">
      <c r="A180" s="1215"/>
      <c r="B180" s="1209"/>
      <c r="C180" s="1311"/>
      <c r="D180" s="1312"/>
      <c r="E180" s="1312"/>
      <c r="F180" s="1148"/>
      <c r="G180" s="1150"/>
      <c r="H180" s="1170"/>
      <c r="I180" s="1170"/>
      <c r="J180" s="1170"/>
      <c r="K180" s="502" t="s">
        <v>802</v>
      </c>
      <c r="L180" s="658">
        <v>8</v>
      </c>
      <c r="M180" s="658">
        <v>8</v>
      </c>
      <c r="N180" s="659">
        <v>9</v>
      </c>
    </row>
    <row r="181" spans="1:14" s="7" customFormat="1" ht="13.5" thickBot="1">
      <c r="A181" s="1215"/>
      <c r="B181" s="1172"/>
      <c r="C181" s="1223" t="s">
        <v>118</v>
      </c>
      <c r="D181" s="1224"/>
      <c r="E181" s="1224"/>
      <c r="F181" s="1224"/>
      <c r="G181" s="1225"/>
      <c r="H181" s="634">
        <f>SUM(H178)</f>
        <v>312</v>
      </c>
      <c r="I181" s="635">
        <f>SUM(I178)</f>
        <v>313.87200000000001</v>
      </c>
      <c r="J181" s="635">
        <f>SUM(J178)</f>
        <v>315.75523200000003</v>
      </c>
      <c r="K181" s="153"/>
      <c r="L181" s="338"/>
      <c r="M181" s="338"/>
      <c r="N181" s="337"/>
    </row>
    <row r="182" spans="1:14" s="7" customFormat="1" ht="26.25" customHeight="1">
      <c r="A182" s="1215"/>
      <c r="B182" s="1172"/>
      <c r="C182" s="1165" t="s">
        <v>38</v>
      </c>
      <c r="D182" s="1166"/>
      <c r="E182" s="1167"/>
      <c r="F182" s="1344" t="s">
        <v>178</v>
      </c>
      <c r="G182" s="1197" t="s">
        <v>121</v>
      </c>
      <c r="H182" s="1199">
        <v>30</v>
      </c>
      <c r="I182" s="1199">
        <f>H182*1.006</f>
        <v>30.18</v>
      </c>
      <c r="J182" s="1199">
        <f>I182*1.006</f>
        <v>30.361080000000001</v>
      </c>
      <c r="K182" s="531" t="s">
        <v>383</v>
      </c>
      <c r="L182" s="552">
        <v>20</v>
      </c>
      <c r="M182" s="552">
        <v>22</v>
      </c>
      <c r="N182" s="637">
        <v>22</v>
      </c>
    </row>
    <row r="183" spans="1:14" s="308" customFormat="1" ht="27" customHeight="1" thickBot="1">
      <c r="A183" s="1215"/>
      <c r="B183" s="1172"/>
      <c r="C183" s="1230"/>
      <c r="D183" s="1231"/>
      <c r="E183" s="1232"/>
      <c r="F183" s="1345"/>
      <c r="G183" s="1346"/>
      <c r="H183" s="1146"/>
      <c r="I183" s="1347"/>
      <c r="J183" s="1347"/>
      <c r="K183" s="532" t="s">
        <v>384</v>
      </c>
      <c r="L183" s="658">
        <v>18</v>
      </c>
      <c r="M183" s="658">
        <v>18</v>
      </c>
      <c r="N183" s="659">
        <v>20</v>
      </c>
    </row>
    <row r="184" spans="1:14" s="7" customFormat="1" ht="13.5" thickBot="1">
      <c r="A184" s="1215"/>
      <c r="B184" s="1172"/>
      <c r="C184" s="1159" t="s">
        <v>118</v>
      </c>
      <c r="D184" s="1160"/>
      <c r="E184" s="1160"/>
      <c r="F184" s="1160"/>
      <c r="G184" s="1164"/>
      <c r="H184" s="704">
        <f>SUM(H182)</f>
        <v>30</v>
      </c>
      <c r="I184" s="705">
        <f>SUM(I182)</f>
        <v>30.18</v>
      </c>
      <c r="J184" s="705">
        <f>SUM(J182)</f>
        <v>30.361080000000001</v>
      </c>
      <c r="K184" s="439"/>
      <c r="L184" s="546"/>
      <c r="M184" s="546"/>
      <c r="N184" s="545"/>
    </row>
    <row r="185" spans="1:14" s="7" customFormat="1" ht="25.5" customHeight="1">
      <c r="A185" s="1215"/>
      <c r="B185" s="1210"/>
      <c r="C185" s="1176" t="s">
        <v>39</v>
      </c>
      <c r="D185" s="1177"/>
      <c r="E185" s="1177"/>
      <c r="F185" s="1350" t="s">
        <v>178</v>
      </c>
      <c r="G185" s="1149" t="s">
        <v>121</v>
      </c>
      <c r="H185" s="1151">
        <v>350</v>
      </c>
      <c r="I185" s="1151">
        <f>H185*1.006</f>
        <v>352.1</v>
      </c>
      <c r="J185" s="1151">
        <f>I185*1.006</f>
        <v>354.21260000000001</v>
      </c>
      <c r="K185" s="740" t="s">
        <v>803</v>
      </c>
      <c r="L185" s="552">
        <v>37</v>
      </c>
      <c r="M185" s="552">
        <v>40</v>
      </c>
      <c r="N185" s="637">
        <v>42</v>
      </c>
    </row>
    <row r="186" spans="1:14" s="436" customFormat="1" ht="25.5" customHeight="1" thickBot="1">
      <c r="A186" s="1215"/>
      <c r="B186" s="1210"/>
      <c r="C186" s="1182"/>
      <c r="D186" s="1183"/>
      <c r="E186" s="1183"/>
      <c r="F186" s="1361"/>
      <c r="G186" s="1362"/>
      <c r="H186" s="1152"/>
      <c r="I186" s="1152"/>
      <c r="J186" s="1152"/>
      <c r="K186" s="741" t="s">
        <v>804</v>
      </c>
      <c r="L186" s="658">
        <v>1</v>
      </c>
      <c r="M186" s="658">
        <v>1</v>
      </c>
      <c r="N186" s="659">
        <v>2</v>
      </c>
    </row>
    <row r="187" spans="1:14" s="7" customFormat="1" ht="13.5" thickBot="1">
      <c r="A187" s="1215"/>
      <c r="B187" s="1173"/>
      <c r="C187" s="1234" t="s">
        <v>118</v>
      </c>
      <c r="D187" s="1207"/>
      <c r="E187" s="1207"/>
      <c r="F187" s="1207"/>
      <c r="G187" s="1208"/>
      <c r="H187" s="634">
        <f>SUM(H185)</f>
        <v>350</v>
      </c>
      <c r="I187" s="635">
        <f>SUM(I185)</f>
        <v>352.1</v>
      </c>
      <c r="J187" s="742">
        <f>SUM(J185)</f>
        <v>354.21260000000001</v>
      </c>
      <c r="K187" s="343"/>
      <c r="L187" s="338"/>
      <c r="M187" s="338"/>
      <c r="N187" s="337"/>
    </row>
    <row r="188" spans="1:14" s="7" customFormat="1" ht="13.5" thickBot="1">
      <c r="A188" s="1215"/>
      <c r="B188" s="1153" t="s">
        <v>119</v>
      </c>
      <c r="C188" s="1160"/>
      <c r="D188" s="1160"/>
      <c r="E188" s="1160"/>
      <c r="F188" s="1160"/>
      <c r="G188" s="1164"/>
      <c r="H188" s="704">
        <f>H181+H184+H187</f>
        <v>692</v>
      </c>
      <c r="I188" s="705">
        <f>I181+I184+I187</f>
        <v>696.15200000000004</v>
      </c>
      <c r="J188" s="716">
        <f>J181+J184+J187</f>
        <v>700.32891200000006</v>
      </c>
      <c r="K188" s="439"/>
      <c r="L188" s="546"/>
      <c r="M188" s="546"/>
      <c r="N188" s="545"/>
    </row>
    <row r="189" spans="1:14" s="7" customFormat="1" ht="25.5" customHeight="1">
      <c r="A189" s="1215"/>
      <c r="B189" s="1213" t="s">
        <v>163</v>
      </c>
      <c r="C189" s="1309" t="s">
        <v>164</v>
      </c>
      <c r="D189" s="1363"/>
      <c r="E189" s="1363"/>
      <c r="F189" s="1147" t="s">
        <v>171</v>
      </c>
      <c r="G189" s="1366" t="s">
        <v>121</v>
      </c>
      <c r="H189" s="1151">
        <v>46.9</v>
      </c>
      <c r="I189" s="1151">
        <f>H189*1.006</f>
        <v>47.181399999999996</v>
      </c>
      <c r="J189" s="1151">
        <f>I189*1.006</f>
        <v>47.464488399999993</v>
      </c>
      <c r="K189" s="476" t="s">
        <v>805</v>
      </c>
      <c r="L189" s="552">
        <v>8</v>
      </c>
      <c r="M189" s="552">
        <v>9</v>
      </c>
      <c r="N189" s="637">
        <v>9</v>
      </c>
    </row>
    <row r="190" spans="1:14" s="436" customFormat="1" ht="25.5" customHeight="1" thickBot="1">
      <c r="A190" s="1215"/>
      <c r="B190" s="1209"/>
      <c r="C190" s="1364"/>
      <c r="D190" s="1365"/>
      <c r="E190" s="1365"/>
      <c r="F190" s="1148"/>
      <c r="G190" s="1150"/>
      <c r="H190" s="1170"/>
      <c r="I190" s="1170"/>
      <c r="J190" s="1170"/>
      <c r="K190" s="512" t="s">
        <v>806</v>
      </c>
      <c r="L190" s="658">
        <v>8</v>
      </c>
      <c r="M190" s="658">
        <v>8</v>
      </c>
      <c r="N190" s="659">
        <v>8</v>
      </c>
    </row>
    <row r="191" spans="1:14" s="7" customFormat="1" ht="13.5" thickBot="1">
      <c r="A191" s="1215"/>
      <c r="B191" s="1172"/>
      <c r="C191" s="1206" t="s">
        <v>118</v>
      </c>
      <c r="D191" s="1207"/>
      <c r="E191" s="1207"/>
      <c r="F191" s="1207"/>
      <c r="G191" s="1208"/>
      <c r="H191" s="634">
        <f>H189</f>
        <v>46.9</v>
      </c>
      <c r="I191" s="635">
        <f>I189</f>
        <v>47.181399999999996</v>
      </c>
      <c r="J191" s="635">
        <f>J189</f>
        <v>47.464488399999993</v>
      </c>
      <c r="K191" s="196"/>
      <c r="L191" s="338"/>
      <c r="M191" s="338"/>
      <c r="N191" s="337"/>
    </row>
    <row r="192" spans="1:14" s="7" customFormat="1" ht="13.5" thickBot="1">
      <c r="A192" s="1216"/>
      <c r="B192" s="1153" t="s">
        <v>119</v>
      </c>
      <c r="C192" s="1154"/>
      <c r="D192" s="1154"/>
      <c r="E192" s="1154"/>
      <c r="F192" s="1154"/>
      <c r="G192" s="1155"/>
      <c r="H192" s="708">
        <f t="shared" ref="H192:J192" si="14">H191</f>
        <v>46.9</v>
      </c>
      <c r="I192" s="671">
        <f t="shared" si="14"/>
        <v>47.181399999999996</v>
      </c>
      <c r="J192" s="671">
        <f t="shared" si="14"/>
        <v>47.464488399999993</v>
      </c>
      <c r="K192" s="139"/>
      <c r="L192" s="164"/>
      <c r="M192" s="164"/>
      <c r="N192" s="165"/>
    </row>
    <row r="193" spans="1:15" s="7" customFormat="1" ht="13.5" thickBot="1">
      <c r="A193" s="1217" t="s">
        <v>16</v>
      </c>
      <c r="B193" s="1204"/>
      <c r="C193" s="1204"/>
      <c r="D193" s="1204"/>
      <c r="E193" s="1204"/>
      <c r="F193" s="1204"/>
      <c r="G193" s="1205"/>
      <c r="H193" s="159">
        <f>H177+H188+H192</f>
        <v>1632.9</v>
      </c>
      <c r="I193" s="745">
        <f>I177+I188+I192</f>
        <v>1642.6974</v>
      </c>
      <c r="J193" s="745">
        <f>J177+J188+J192</f>
        <v>1652.5535844000001</v>
      </c>
      <c r="K193" s="139"/>
      <c r="L193" s="164"/>
      <c r="M193" s="164"/>
      <c r="N193" s="165"/>
    </row>
    <row r="194" spans="1:15" s="10" customFormat="1" ht="13.5" thickBot="1">
      <c r="A194" s="1203" t="s">
        <v>310</v>
      </c>
      <c r="B194" s="1204"/>
      <c r="C194" s="1204"/>
      <c r="D194" s="1204"/>
      <c r="E194" s="1204"/>
      <c r="F194" s="1204"/>
      <c r="G194" s="1205"/>
      <c r="H194" s="743">
        <f>H193+H170+H133+H102+H73</f>
        <v>20273.600000000006</v>
      </c>
      <c r="I194" s="744">
        <f>I193+I170+I133+I102+I73</f>
        <v>19958.708200000001</v>
      </c>
      <c r="J194" s="744">
        <f>J193+J170+J133+J102+J73</f>
        <v>20078.430449200001</v>
      </c>
      <c r="K194" s="79"/>
      <c r="L194" s="660"/>
      <c r="M194" s="660"/>
      <c r="N194" s="661"/>
    </row>
    <row r="195" spans="1:15" s="10" customFormat="1" ht="10.5" customHeight="1">
      <c r="A195" s="86"/>
      <c r="B195" s="104"/>
      <c r="C195" s="104"/>
      <c r="D195" s="1130"/>
      <c r="E195" s="32"/>
      <c r="F195" s="32" t="s">
        <v>11</v>
      </c>
      <c r="G195" s="32"/>
      <c r="H195" s="32"/>
      <c r="I195" s="56"/>
      <c r="J195" s="56"/>
      <c r="K195" s="56"/>
      <c r="L195" s="662"/>
      <c r="M195" s="662"/>
      <c r="N195" s="662"/>
    </row>
    <row r="196" spans="1:15" s="7" customFormat="1" ht="10.5" customHeight="1">
      <c r="A196" s="36"/>
      <c r="B196" s="29"/>
      <c r="C196" s="87"/>
      <c r="D196" s="40"/>
      <c r="E196" s="41"/>
      <c r="F196" s="41"/>
      <c r="G196" s="81" t="s">
        <v>124</v>
      </c>
      <c r="H196" s="450">
        <f>SUMIF($G$8:$G$193,"SB",H$8:H$193)</f>
        <v>10155.799999999999</v>
      </c>
      <c r="I196" s="450">
        <f>SUMIF($G$8:$G$193,"SB",I$8:I$193)</f>
        <v>10129.685799999999</v>
      </c>
      <c r="J196" s="450">
        <f>SUMIF($G$8:$G$193,"SB",J$8:J$193)</f>
        <v>10190.433914800002</v>
      </c>
      <c r="K196" s="318"/>
      <c r="L196" s="313"/>
      <c r="M196" s="313"/>
      <c r="N196" s="313"/>
    </row>
    <row r="197" spans="1:15" s="7" customFormat="1" ht="10.5" customHeight="1">
      <c r="A197" s="36"/>
      <c r="B197" s="127"/>
      <c r="C197" s="55"/>
      <c r="D197" s="40"/>
      <c r="E197" s="41"/>
      <c r="F197" s="41"/>
      <c r="G197" s="81" t="s">
        <v>125</v>
      </c>
      <c r="H197" s="450">
        <f>SUMIF($G$8:$G$193,"VB-STD",H$8:H$193)</f>
        <v>9471.5000000000036</v>
      </c>
      <c r="I197" s="450">
        <f>SUMIF($G$8:$G$193,"VB-STD",I$8:I$193)</f>
        <v>9180.2530000000006</v>
      </c>
      <c r="J197" s="450">
        <f>SUMIF($G$8:$G$193,"VB-STD",J$8:J$193)</f>
        <v>9235.3345179999997</v>
      </c>
      <c r="K197" s="195"/>
      <c r="L197" s="328"/>
      <c r="M197" s="328"/>
      <c r="N197" s="328"/>
    </row>
    <row r="198" spans="1:15" s="7" customFormat="1" ht="10.5" customHeight="1">
      <c r="A198" s="36"/>
      <c r="B198" s="127"/>
      <c r="C198" s="55"/>
      <c r="D198" s="18"/>
      <c r="E198" s="19"/>
      <c r="F198" s="19"/>
      <c r="G198" s="81" t="s">
        <v>126</v>
      </c>
      <c r="H198" s="450">
        <f>SUMIF($G$8:$G$193,"ES",H$8:H$193)</f>
        <v>0</v>
      </c>
      <c r="I198" s="450">
        <f>SUMIF($G$8:$G$193,"ES",I$8:I$193)</f>
        <v>0</v>
      </c>
      <c r="J198" s="450">
        <f>SUMIF($G$8:$G$193,"ES",J$8:J$193)</f>
        <v>0</v>
      </c>
      <c r="K198" s="195"/>
      <c r="L198" s="328"/>
      <c r="M198" s="328"/>
      <c r="N198" s="328"/>
    </row>
    <row r="199" spans="1:15" s="7" customFormat="1" ht="10.5" customHeight="1">
      <c r="A199" s="36"/>
      <c r="B199" s="127"/>
      <c r="C199" s="55"/>
      <c r="D199" s="18"/>
      <c r="E199" s="19"/>
      <c r="F199" s="19"/>
      <c r="G199" s="81" t="s">
        <v>127</v>
      </c>
      <c r="H199" s="450">
        <f>SUMIF($G$8:$G$193,"SAARS",H$8:H$193)</f>
        <v>0</v>
      </c>
      <c r="I199" s="450">
        <f>SUMIF($G$8:$G$193,"SAARS",I$8:I$193)</f>
        <v>0</v>
      </c>
      <c r="J199" s="450">
        <f>SUMIF($G$8:$G$193,"SAARS",J$8:J$193)</f>
        <v>0</v>
      </c>
      <c r="K199" s="195"/>
      <c r="L199" s="328"/>
      <c r="M199" s="328"/>
      <c r="N199" s="328"/>
    </row>
    <row r="200" spans="1:15" s="7" customFormat="1" ht="10.5" customHeight="1">
      <c r="A200" s="36"/>
      <c r="B200" s="127"/>
      <c r="C200" s="55"/>
      <c r="D200" s="18"/>
      <c r="E200" s="19"/>
      <c r="F200" s="19"/>
      <c r="G200" s="81" t="s">
        <v>128</v>
      </c>
      <c r="H200" s="450">
        <f>SUMIF($G$8:$G$193,"KPPP",H$8:H$193)</f>
        <v>0</v>
      </c>
      <c r="I200" s="450">
        <f>SUMIF($G$8:$G$193,"KPPP",I$8:I$193)</f>
        <v>0</v>
      </c>
      <c r="J200" s="450">
        <f>SUMIF($G$8:$G$193,"KPPP",J$8:J$193)</f>
        <v>0</v>
      </c>
      <c r="K200" s="195"/>
      <c r="L200" s="328"/>
      <c r="M200" s="328"/>
      <c r="N200" s="328"/>
    </row>
    <row r="201" spans="1:15" s="7" customFormat="1" ht="10.5" customHeight="1">
      <c r="A201" s="36"/>
      <c r="B201" s="127"/>
      <c r="C201" s="55"/>
      <c r="D201" s="18"/>
      <c r="E201" s="19"/>
      <c r="F201" s="19"/>
      <c r="G201" s="82" t="s">
        <v>129</v>
      </c>
      <c r="H201" s="450">
        <f>SUMIF($G$8:$G$193,"UF",H$8:H$193)</f>
        <v>0</v>
      </c>
      <c r="I201" s="450">
        <f>SUMIF($G$8:$G$193,"UF",I$8:I$193)</f>
        <v>0</v>
      </c>
      <c r="J201" s="450">
        <f>SUMIF($G$8:$G$193,"UF",J$8:J$193)</f>
        <v>0</v>
      </c>
      <c r="K201" s="195"/>
      <c r="L201" s="328"/>
      <c r="M201" s="328"/>
      <c r="N201" s="328"/>
    </row>
    <row r="202" spans="1:15" s="7" customFormat="1" ht="10.5" customHeight="1">
      <c r="A202" s="36"/>
      <c r="B202" s="127"/>
      <c r="C202" s="55"/>
      <c r="D202" s="18"/>
      <c r="E202" s="19"/>
      <c r="F202" s="19"/>
      <c r="G202" s="81" t="s">
        <v>130</v>
      </c>
      <c r="H202" s="450">
        <f>SUMIF($G$8:$G$193,"VB",H$8:H$193)</f>
        <v>0</v>
      </c>
      <c r="I202" s="450">
        <f>SUMIF($G$8:$G$193,"VB",I$8:I$193)</f>
        <v>0</v>
      </c>
      <c r="J202" s="450">
        <f>SUMIF($G$8:$G$193,"VB",J$8:J$193)</f>
        <v>0</v>
      </c>
      <c r="K202" s="195"/>
      <c r="L202" s="328"/>
      <c r="M202" s="328"/>
      <c r="N202" s="328"/>
    </row>
    <row r="203" spans="1:15" s="7" customFormat="1" ht="10.5" customHeight="1">
      <c r="A203" s="36"/>
      <c r="B203" s="127"/>
      <c r="C203" s="55"/>
      <c r="D203" s="18"/>
      <c r="E203" s="19"/>
      <c r="F203" s="19"/>
      <c r="G203" s="81" t="s">
        <v>131</v>
      </c>
      <c r="H203" s="450">
        <f>SUMIF($G$8:$G$193,"SL",H$8:H$193)</f>
        <v>0</v>
      </c>
      <c r="I203" s="450">
        <f>SUMIF($G$8:$G$193,"SL",I$8:I$193)</f>
        <v>0</v>
      </c>
      <c r="J203" s="450">
        <f>SUMIF($G$8:$G$193,"SL",J$8:J$193)</f>
        <v>0</v>
      </c>
      <c r="K203" s="195"/>
      <c r="L203" s="328"/>
      <c r="M203" s="328"/>
      <c r="N203" s="328"/>
    </row>
    <row r="204" spans="1:15" s="7" customFormat="1" ht="10.5" customHeight="1">
      <c r="A204" s="77"/>
      <c r="B204" s="30"/>
      <c r="C204" s="76"/>
      <c r="D204" s="18"/>
      <c r="E204" s="19"/>
      <c r="F204" s="19"/>
      <c r="G204" s="81" t="s">
        <v>132</v>
      </c>
      <c r="H204" s="450">
        <f>SUMIF($G$8:$G$193,"PL",H$8:H$193)</f>
        <v>0</v>
      </c>
      <c r="I204" s="450">
        <f>SUMIF($G$8:$G$193,"PL",I$8:I$193)</f>
        <v>0</v>
      </c>
      <c r="J204" s="450">
        <f>SUMIF($G$8:$G$193,"PL",J$8:J$193)</f>
        <v>0</v>
      </c>
      <c r="K204" s="195"/>
      <c r="L204" s="328"/>
      <c r="M204" s="328"/>
      <c r="N204" s="328"/>
    </row>
    <row r="205" spans="1:15" s="7" customFormat="1" ht="10.5" customHeight="1">
      <c r="A205" s="77"/>
      <c r="B205" s="30"/>
      <c r="C205" s="76"/>
      <c r="D205" s="40"/>
      <c r="E205" s="41"/>
      <c r="F205" s="41"/>
      <c r="G205" s="81" t="s">
        <v>133</v>
      </c>
      <c r="H205" s="450">
        <f>SUMIF($G$8:$G$193,"KL",H$8:H$193)</f>
        <v>0</v>
      </c>
      <c r="I205" s="450">
        <f>SUMIF($G$8:$G$193,"KL",I$8:I$193)</f>
        <v>0</v>
      </c>
      <c r="J205" s="450">
        <f>SUMIF($G$8:$G$193,"KL",J$8:J$193)</f>
        <v>0</v>
      </c>
      <c r="K205" s="318"/>
      <c r="L205" s="313"/>
      <c r="M205" s="313"/>
      <c r="N205" s="313"/>
    </row>
    <row r="206" spans="1:15" s="7" customFormat="1" ht="10.5" customHeight="1">
      <c r="A206" s="36"/>
      <c r="B206" s="1132"/>
      <c r="C206" s="1133"/>
      <c r="D206" s="40"/>
      <c r="E206" s="41"/>
      <c r="F206" s="41"/>
      <c r="G206" s="81" t="s">
        <v>134</v>
      </c>
      <c r="H206" s="450">
        <f>SUMIF($G$8:$G$193,"TPP",H$8:H$193)</f>
        <v>646.30000000000007</v>
      </c>
      <c r="I206" s="450">
        <f>SUMIF($G$8:$G$193,"TPP",I$8:I$193)</f>
        <v>648.76940000000002</v>
      </c>
      <c r="J206" s="450">
        <f>SUMIF($G$8:$G$193,"TPP",J$8:J$193)</f>
        <v>652.66201640000008</v>
      </c>
      <c r="K206" s="195"/>
      <c r="L206" s="328"/>
      <c r="M206" s="328"/>
      <c r="N206" s="328"/>
    </row>
    <row r="207" spans="1:15" s="11" customFormat="1" ht="10.5" customHeight="1">
      <c r="A207" s="37"/>
      <c r="B207" s="12"/>
      <c r="C207" s="12"/>
      <c r="D207" s="12"/>
      <c r="E207" s="12"/>
      <c r="F207" s="12"/>
      <c r="G207" s="83" t="s">
        <v>17</v>
      </c>
      <c r="H207" s="1137">
        <f>SUM(H196:H206)</f>
        <v>20273.600000000002</v>
      </c>
      <c r="I207" s="1137">
        <f>SUM(I196:I206)</f>
        <v>19958.708200000001</v>
      </c>
      <c r="J207" s="1137">
        <f>SUM(J196:J206)</f>
        <v>20078.430449200005</v>
      </c>
      <c r="K207" s="57"/>
      <c r="L207" s="283"/>
      <c r="M207" s="748"/>
      <c r="N207" s="748"/>
    </row>
    <row r="208" spans="1:15" s="53" customFormat="1">
      <c r="A208" s="50"/>
      <c r="B208" s="51"/>
      <c r="C208" s="51"/>
      <c r="D208" s="51"/>
      <c r="E208" s="51"/>
      <c r="F208" s="51"/>
      <c r="H208" s="749"/>
      <c r="I208" s="750">
        <f>J207+L207</f>
        <v>20078.430449200005</v>
      </c>
      <c r="J208" s="751"/>
      <c r="K208" s="751"/>
      <c r="L208" s="752"/>
      <c r="M208" s="753"/>
      <c r="N208" s="752"/>
      <c r="O208" s="751"/>
    </row>
    <row r="209" spans="1:15" s="53" customFormat="1">
      <c r="A209" s="54"/>
      <c r="B209" s="51"/>
      <c r="C209" s="51"/>
      <c r="D209" s="51"/>
      <c r="E209" s="51"/>
      <c r="F209" s="51"/>
      <c r="H209" s="751"/>
      <c r="I209" s="751"/>
      <c r="J209" s="751"/>
      <c r="K209" s="751"/>
      <c r="L209" s="752"/>
      <c r="M209" s="752"/>
      <c r="N209" s="752"/>
      <c r="O209" s="751"/>
    </row>
    <row r="210" spans="1:15" s="53" customFormat="1">
      <c r="A210" s="54"/>
      <c r="B210" s="51"/>
      <c r="C210" s="51"/>
      <c r="D210" s="51" t="s">
        <v>45</v>
      </c>
      <c r="E210" s="51"/>
      <c r="F210" s="51"/>
      <c r="H210" s="51"/>
      <c r="I210" s="52"/>
      <c r="J210" s="52"/>
      <c r="K210" s="52"/>
      <c r="L210" s="285"/>
      <c r="M210" s="285"/>
      <c r="N210" s="285"/>
      <c r="O210" s="52"/>
    </row>
    <row r="211" spans="1:15" s="53" customFormat="1">
      <c r="A211" s="54"/>
      <c r="B211" s="51"/>
      <c r="C211" s="51"/>
      <c r="D211" s="51"/>
      <c r="E211" s="51"/>
      <c r="F211" s="51"/>
      <c r="H211" s="51"/>
      <c r="L211" s="284"/>
      <c r="M211" s="284"/>
      <c r="N211" s="284"/>
    </row>
    <row r="212" spans="1:15" s="11" customFormat="1">
      <c r="A212" s="38"/>
      <c r="B212" s="12"/>
      <c r="C212" s="12"/>
      <c r="D212" s="12"/>
      <c r="E212" s="12"/>
      <c r="F212" s="12"/>
      <c r="H212" s="12"/>
      <c r="L212" s="286"/>
      <c r="M212" s="286"/>
      <c r="N212" s="286"/>
    </row>
    <row r="213" spans="1:15" s="11" customFormat="1">
      <c r="A213" s="38"/>
      <c r="B213" s="12"/>
      <c r="C213" s="12"/>
      <c r="D213" s="12"/>
      <c r="E213" s="12"/>
      <c r="F213" s="12"/>
      <c r="H213" s="12"/>
      <c r="L213" s="286"/>
      <c r="M213" s="286"/>
      <c r="N213" s="286"/>
    </row>
    <row r="214" spans="1:15" s="11" customFormat="1">
      <c r="A214" s="38"/>
      <c r="B214" s="12"/>
      <c r="C214" s="12"/>
      <c r="D214" s="12"/>
      <c r="E214" s="12"/>
      <c r="F214" s="12"/>
      <c r="H214" s="12"/>
      <c r="L214" s="286"/>
      <c r="M214" s="286"/>
      <c r="N214" s="286"/>
    </row>
    <row r="215" spans="1:15" s="11" customFormat="1">
      <c r="A215" s="38"/>
      <c r="B215" s="12"/>
      <c r="C215" s="12"/>
      <c r="D215" s="12"/>
      <c r="E215" s="12"/>
      <c r="F215" s="12"/>
      <c r="H215" s="12"/>
      <c r="L215" s="286"/>
      <c r="M215" s="286"/>
      <c r="N215" s="286"/>
    </row>
    <row r="216" spans="1:15" s="11" customFormat="1">
      <c r="A216" s="38"/>
      <c r="B216" s="12"/>
      <c r="C216" s="12"/>
      <c r="D216" s="12"/>
      <c r="E216" s="12"/>
      <c r="F216" s="12"/>
      <c r="H216" s="12"/>
      <c r="L216" s="286"/>
      <c r="M216" s="286"/>
      <c r="N216" s="286"/>
    </row>
    <row r="217" spans="1:15">
      <c r="G217" s="3"/>
    </row>
    <row r="218" spans="1:15">
      <c r="F218" s="1960"/>
      <c r="G218" s="3"/>
    </row>
    <row r="219" spans="1:15">
      <c r="G219" s="3"/>
    </row>
    <row r="220" spans="1:15">
      <c r="G220" s="3"/>
    </row>
    <row r="221" spans="1:15">
      <c r="G221" s="3"/>
    </row>
  </sheetData>
  <mergeCells count="195">
    <mergeCell ref="C185:E186"/>
    <mergeCell ref="F185:F186"/>
    <mergeCell ref="G185:G186"/>
    <mergeCell ref="H185:H186"/>
    <mergeCell ref="I185:I186"/>
    <mergeCell ref="J185:J186"/>
    <mergeCell ref="C189:E190"/>
    <mergeCell ref="F189:F190"/>
    <mergeCell ref="G189:G190"/>
    <mergeCell ref="H189:H190"/>
    <mergeCell ref="I189:I190"/>
    <mergeCell ref="J189:J190"/>
    <mergeCell ref="J178:J180"/>
    <mergeCell ref="C66:E68"/>
    <mergeCell ref="C84:E99"/>
    <mergeCell ref="J182:J183"/>
    <mergeCell ref="J173:J175"/>
    <mergeCell ref="J166:J167"/>
    <mergeCell ref="C119:E119"/>
    <mergeCell ref="C127:E130"/>
    <mergeCell ref="F127:F130"/>
    <mergeCell ref="G127:G130"/>
    <mergeCell ref="C146:G146"/>
    <mergeCell ref="H158:H159"/>
    <mergeCell ref="I158:I159"/>
    <mergeCell ref="J158:J159"/>
    <mergeCell ref="C70:E70"/>
    <mergeCell ref="C71:G71"/>
    <mergeCell ref="I103:I104"/>
    <mergeCell ref="H103:H104"/>
    <mergeCell ref="F103:F104"/>
    <mergeCell ref="H154:H155"/>
    <mergeCell ref="I154:I155"/>
    <mergeCell ref="J154:J155"/>
    <mergeCell ref="F141:F145"/>
    <mergeCell ref="G141:G142"/>
    <mergeCell ref="C184:G184"/>
    <mergeCell ref="C165:G165"/>
    <mergeCell ref="C162:E164"/>
    <mergeCell ref="C171:E175"/>
    <mergeCell ref="F173:F175"/>
    <mergeCell ref="G173:G175"/>
    <mergeCell ref="H173:H175"/>
    <mergeCell ref="I173:I175"/>
    <mergeCell ref="C182:E183"/>
    <mergeCell ref="F182:F183"/>
    <mergeCell ref="G182:G183"/>
    <mergeCell ref="H182:H183"/>
    <mergeCell ref="B177:G177"/>
    <mergeCell ref="I182:I183"/>
    <mergeCell ref="C178:E180"/>
    <mergeCell ref="F178:F180"/>
    <mergeCell ref="G178:G180"/>
    <mergeCell ref="H178:H180"/>
    <mergeCell ref="I178:I180"/>
    <mergeCell ref="G143:G145"/>
    <mergeCell ref="H141:H142"/>
    <mergeCell ref="I141:I142"/>
    <mergeCell ref="J141:J142"/>
    <mergeCell ref="H143:H145"/>
    <mergeCell ref="I143:I145"/>
    <mergeCell ref="J143:J145"/>
    <mergeCell ref="G148:G152"/>
    <mergeCell ref="H148:H152"/>
    <mergeCell ref="A103:A132"/>
    <mergeCell ref="B74:B100"/>
    <mergeCell ref="B101:G101"/>
    <mergeCell ref="C100:G100"/>
    <mergeCell ref="I106:I107"/>
    <mergeCell ref="J106:J107"/>
    <mergeCell ref="C111:E111"/>
    <mergeCell ref="C112:G112"/>
    <mergeCell ref="C106:E107"/>
    <mergeCell ref="C108:G108"/>
    <mergeCell ref="B103:B122"/>
    <mergeCell ref="C113:E113"/>
    <mergeCell ref="C114:G114"/>
    <mergeCell ref="G124:G125"/>
    <mergeCell ref="H124:H125"/>
    <mergeCell ref="H127:H130"/>
    <mergeCell ref="I127:I130"/>
    <mergeCell ref="J127:J130"/>
    <mergeCell ref="C115:E115"/>
    <mergeCell ref="C116:E116"/>
    <mergeCell ref="A74:A101"/>
    <mergeCell ref="A102:G102"/>
    <mergeCell ref="C105:G105"/>
    <mergeCell ref="J103:J104"/>
    <mergeCell ref="A5:A7"/>
    <mergeCell ref="B5:B7"/>
    <mergeCell ref="C5:C7"/>
    <mergeCell ref="D5:D7"/>
    <mergeCell ref="E5:E7"/>
    <mergeCell ref="C137:G137"/>
    <mergeCell ref="C139:G139"/>
    <mergeCell ref="B134:B139"/>
    <mergeCell ref="A8:A72"/>
    <mergeCell ref="B72:G72"/>
    <mergeCell ref="C69:G69"/>
    <mergeCell ref="C134:E136"/>
    <mergeCell ref="A133:G133"/>
    <mergeCell ref="C103:E104"/>
    <mergeCell ref="A73:G73"/>
    <mergeCell ref="C27:G27"/>
    <mergeCell ref="C8:E26"/>
    <mergeCell ref="C65:G65"/>
    <mergeCell ref="C126:G126"/>
    <mergeCell ref="C131:G131"/>
    <mergeCell ref="C124:E125"/>
    <mergeCell ref="F124:F125"/>
    <mergeCell ref="G103:G104"/>
    <mergeCell ref="B8:B71"/>
    <mergeCell ref="K5:N5"/>
    <mergeCell ref="K6:K7"/>
    <mergeCell ref="L6:N6"/>
    <mergeCell ref="J5:J7"/>
    <mergeCell ref="F5:F7"/>
    <mergeCell ref="H5:H7"/>
    <mergeCell ref="I5:I7"/>
    <mergeCell ref="G5:G7"/>
    <mergeCell ref="B140:G140"/>
    <mergeCell ref="C28:E64"/>
    <mergeCell ref="H82:H83"/>
    <mergeCell ref="I82:I83"/>
    <mergeCell ref="J82:J83"/>
    <mergeCell ref="C82:G83"/>
    <mergeCell ref="C74:E81"/>
    <mergeCell ref="C110:G110"/>
    <mergeCell ref="C109:E109"/>
    <mergeCell ref="B124:B131"/>
    <mergeCell ref="B132:G132"/>
    <mergeCell ref="L128:L129"/>
    <mergeCell ref="M128:M129"/>
    <mergeCell ref="N128:N129"/>
    <mergeCell ref="I124:I125"/>
    <mergeCell ref="J124:J125"/>
    <mergeCell ref="A194:G194"/>
    <mergeCell ref="C191:G191"/>
    <mergeCell ref="B178:B187"/>
    <mergeCell ref="B162:B168"/>
    <mergeCell ref="B169:G169"/>
    <mergeCell ref="B188:G188"/>
    <mergeCell ref="B189:B191"/>
    <mergeCell ref="B192:G192"/>
    <mergeCell ref="A171:A192"/>
    <mergeCell ref="A193:G193"/>
    <mergeCell ref="A134:A169"/>
    <mergeCell ref="A170:G170"/>
    <mergeCell ref="C176:G176"/>
    <mergeCell ref="C181:G181"/>
    <mergeCell ref="C168:G168"/>
    <mergeCell ref="F148:F152"/>
    <mergeCell ref="C153:G153"/>
    <mergeCell ref="F158:F159"/>
    <mergeCell ref="F162:F164"/>
    <mergeCell ref="C166:E167"/>
    <mergeCell ref="F166:F167"/>
    <mergeCell ref="C187:G187"/>
    <mergeCell ref="C141:E145"/>
    <mergeCell ref="B141:B146"/>
    <mergeCell ref="K128:K129"/>
    <mergeCell ref="G166:G167"/>
    <mergeCell ref="H166:H167"/>
    <mergeCell ref="B157:G157"/>
    <mergeCell ref="B147:G147"/>
    <mergeCell ref="B171:B176"/>
    <mergeCell ref="C138:E138"/>
    <mergeCell ref="I166:I167"/>
    <mergeCell ref="C148:E152"/>
    <mergeCell ref="B161:G161"/>
    <mergeCell ref="B158:B160"/>
    <mergeCell ref="B148:B156"/>
    <mergeCell ref="C156:G156"/>
    <mergeCell ref="C154:E155"/>
    <mergeCell ref="F154:F155"/>
    <mergeCell ref="G154:G155"/>
    <mergeCell ref="I135:I136"/>
    <mergeCell ref="J135:J136"/>
    <mergeCell ref="C158:E159"/>
    <mergeCell ref="C160:G160"/>
    <mergeCell ref="G158:G159"/>
    <mergeCell ref="I148:I152"/>
    <mergeCell ref="J148:J152"/>
    <mergeCell ref="G135:G136"/>
    <mergeCell ref="H135:H136"/>
    <mergeCell ref="F106:F107"/>
    <mergeCell ref="G106:G107"/>
    <mergeCell ref="H106:H107"/>
    <mergeCell ref="C120:G120"/>
    <mergeCell ref="C121:E121"/>
    <mergeCell ref="C122:G122"/>
    <mergeCell ref="F134:F136"/>
    <mergeCell ref="B123:G123"/>
    <mergeCell ref="C117:E117"/>
    <mergeCell ref="C118:G118"/>
  </mergeCells>
  <phoneticPr fontId="8" type="noConversion"/>
  <pageMargins left="0.39370078740157483" right="0.27559055118110237" top="0.59055118110236227" bottom="0.39370078740157483" header="0.31496062992125984" footer="0.35433070866141736"/>
  <pageSetup paperSize="9" scale="92" fitToHeight="0" orientation="landscape" useFirstPageNumber="1" r:id="rId1"/>
  <headerFooter alignWithMargins="0">
    <oddHeader>&amp;C1.1.-&amp;P</oddHeader>
  </headerFooter>
  <ignoredErrors>
    <ignoredError sqref="I72:J72"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workbookViewId="0">
      <selection activeCell="B2" sqref="B2"/>
    </sheetView>
  </sheetViews>
  <sheetFormatPr defaultRowHeight="12.75"/>
  <cols>
    <col min="1" max="1" width="23.140625" bestFit="1" customWidth="1"/>
    <col min="2" max="5" width="13.42578125" customWidth="1"/>
  </cols>
  <sheetData>
    <row r="1" spans="1:6" ht="39" customHeight="1">
      <c r="A1" s="28"/>
      <c r="B1" s="28" t="s">
        <v>807</v>
      </c>
      <c r="C1" s="22" t="s">
        <v>808</v>
      </c>
      <c r="D1" s="28" t="s">
        <v>287</v>
      </c>
      <c r="E1" s="28" t="s">
        <v>809</v>
      </c>
    </row>
    <row r="2" spans="1:6" ht="13.5" customHeight="1">
      <c r="A2" s="23" t="s">
        <v>51</v>
      </c>
      <c r="B2" s="24">
        <v>18562.199999999997</v>
      </c>
      <c r="C2" s="24">
        <f>'1 programa'!H194</f>
        <v>20273.600000000006</v>
      </c>
      <c r="D2" s="24">
        <f>'1 programa'!I194</f>
        <v>19958.708200000001</v>
      </c>
      <c r="E2" s="24">
        <f>'1 programa'!J194</f>
        <v>20078.430449200001</v>
      </c>
    </row>
    <row r="3" spans="1:6" ht="15" customHeight="1">
      <c r="A3" s="21" t="s">
        <v>52</v>
      </c>
      <c r="B3" s="24">
        <v>18562.2</v>
      </c>
      <c r="C3" s="24">
        <f>SUM(C4:C14)</f>
        <v>20273.600000000002</v>
      </c>
      <c r="D3" s="24">
        <f>SUM(D4:D14)</f>
        <v>19958.708200000001</v>
      </c>
      <c r="E3" s="24">
        <f>SUM(E4:E14)</f>
        <v>20078.430449200005</v>
      </c>
    </row>
    <row r="4" spans="1:6">
      <c r="A4" s="372" t="s">
        <v>124</v>
      </c>
      <c r="B4" s="24">
        <v>8588.3999999999978</v>
      </c>
      <c r="C4" s="24">
        <f>'1 programa'!H196</f>
        <v>10155.799999999999</v>
      </c>
      <c r="D4" s="24">
        <f>'1 programa'!I196</f>
        <v>10129.685799999999</v>
      </c>
      <c r="E4" s="24">
        <f>'1 programa'!J196</f>
        <v>10190.433914800002</v>
      </c>
      <c r="F4" s="20"/>
    </row>
    <row r="5" spans="1:6" ht="22.5">
      <c r="A5" s="372" t="s">
        <v>125</v>
      </c>
      <c r="B5" s="24">
        <v>9391.0000000000018</v>
      </c>
      <c r="C5" s="24">
        <f>'1 programa'!H197</f>
        <v>9471.5000000000036</v>
      </c>
      <c r="D5" s="24">
        <f>'1 programa'!I197</f>
        <v>9180.2530000000006</v>
      </c>
      <c r="E5" s="24">
        <f>'1 programa'!J197</f>
        <v>9235.3345179999997</v>
      </c>
    </row>
    <row r="6" spans="1:6" ht="22.5">
      <c r="A6" s="372" t="s">
        <v>126</v>
      </c>
      <c r="B6" s="24">
        <v>28.6</v>
      </c>
      <c r="C6" s="24">
        <f>'1 programa'!H198</f>
        <v>0</v>
      </c>
      <c r="D6" s="24">
        <f>'1 programa'!I198</f>
        <v>0</v>
      </c>
      <c r="E6" s="24">
        <f>'1 programa'!J198</f>
        <v>0</v>
      </c>
    </row>
    <row r="7" spans="1:6" ht="22.5">
      <c r="A7" s="372" t="s">
        <v>127</v>
      </c>
      <c r="B7" s="24">
        <v>0</v>
      </c>
      <c r="C7" s="24">
        <f>'1 programa'!H199</f>
        <v>0</v>
      </c>
      <c r="D7" s="24">
        <f>'1 programa'!I199</f>
        <v>0</v>
      </c>
      <c r="E7" s="24">
        <f>'1 programa'!J199</f>
        <v>0</v>
      </c>
    </row>
    <row r="8" spans="1:6" ht="22.5">
      <c r="A8" s="372" t="s">
        <v>128</v>
      </c>
      <c r="B8" s="24">
        <v>0</v>
      </c>
      <c r="C8" s="24">
        <f>'1 programa'!H200</f>
        <v>0</v>
      </c>
      <c r="D8" s="24">
        <f>'1 programa'!I200</f>
        <v>0</v>
      </c>
      <c r="E8" s="24">
        <f>'1 programa'!J200</f>
        <v>0</v>
      </c>
    </row>
    <row r="9" spans="1:6">
      <c r="A9" s="372" t="s">
        <v>129</v>
      </c>
      <c r="B9" s="24">
        <v>0</v>
      </c>
      <c r="C9" s="24">
        <f>'1 programa'!H201</f>
        <v>0</v>
      </c>
      <c r="D9" s="24">
        <f>'1 programa'!I201</f>
        <v>0</v>
      </c>
      <c r="E9" s="24">
        <f>'1 programa'!J201</f>
        <v>0</v>
      </c>
    </row>
    <row r="10" spans="1:6" ht="22.5">
      <c r="A10" s="372" t="s">
        <v>130</v>
      </c>
      <c r="B10" s="24">
        <v>4.3</v>
      </c>
      <c r="C10" s="24">
        <f>'1 programa'!H202</f>
        <v>0</v>
      </c>
      <c r="D10" s="24">
        <f>'1 programa'!I202</f>
        <v>0</v>
      </c>
      <c r="E10" s="24">
        <f>'1 programa'!J202</f>
        <v>0</v>
      </c>
    </row>
    <row r="11" spans="1:6" ht="13.5" customHeight="1">
      <c r="A11" s="372" t="s">
        <v>131</v>
      </c>
      <c r="B11" s="24">
        <v>0</v>
      </c>
      <c r="C11" s="24">
        <f>'1 programa'!H203</f>
        <v>0</v>
      </c>
      <c r="D11" s="24">
        <f>'1 programa'!I203</f>
        <v>0</v>
      </c>
      <c r="E11" s="24">
        <f>'1 programa'!J203</f>
        <v>0</v>
      </c>
    </row>
    <row r="12" spans="1:6" ht="13.5" customHeight="1">
      <c r="A12" s="372" t="s">
        <v>132</v>
      </c>
      <c r="B12" s="24">
        <v>0</v>
      </c>
      <c r="C12" s="24">
        <f>'1 programa'!H204</f>
        <v>0</v>
      </c>
      <c r="D12" s="24">
        <f>'1 programa'!I204</f>
        <v>0</v>
      </c>
      <c r="E12" s="24">
        <f>'1 programa'!J204</f>
        <v>0</v>
      </c>
    </row>
    <row r="13" spans="1:6" ht="12.75" customHeight="1">
      <c r="A13" s="372" t="s">
        <v>133</v>
      </c>
      <c r="B13" s="24">
        <v>0</v>
      </c>
      <c r="C13" s="24">
        <f>'1 programa'!H205</f>
        <v>0</v>
      </c>
      <c r="D13" s="24">
        <f>'1 programa'!I205</f>
        <v>0</v>
      </c>
      <c r="E13" s="24">
        <f>'1 programa'!J205</f>
        <v>0</v>
      </c>
    </row>
    <row r="14" spans="1:6">
      <c r="A14" s="372" t="s">
        <v>134</v>
      </c>
      <c r="B14" s="24">
        <v>549.89999999999986</v>
      </c>
      <c r="C14" s="24">
        <f>'1 programa'!H206</f>
        <v>646.30000000000007</v>
      </c>
      <c r="D14" s="24">
        <f>'1 programa'!I206</f>
        <v>648.76940000000002</v>
      </c>
      <c r="E14" s="24">
        <f>'1 programa'!J206</f>
        <v>652.66201640000008</v>
      </c>
    </row>
    <row r="15" spans="1:6">
      <c r="B15" s="20"/>
      <c r="C15" s="20"/>
      <c r="D15" s="20"/>
      <c r="E15" s="20"/>
    </row>
    <row r="24" ht="14.25" customHeight="1"/>
  </sheetData>
  <phoneticPr fontId="6" type="noConversion"/>
  <pageMargins left="0.75" right="0.75" top="1" bottom="1" header="0" footer="0"/>
  <pageSetup paperSize="9" orientation="portrait" verticalDpi="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workbookViewId="0">
      <selection activeCell="B2" sqref="B2:B14"/>
    </sheetView>
  </sheetViews>
  <sheetFormatPr defaultRowHeight="12.75"/>
  <cols>
    <col min="1" max="1" width="23" customWidth="1"/>
    <col min="2" max="5" width="11.140625" customWidth="1"/>
  </cols>
  <sheetData>
    <row r="1" spans="1:5" ht="38.25" customHeight="1">
      <c r="A1" s="28"/>
      <c r="B1" s="28" t="s">
        <v>807</v>
      </c>
      <c r="C1" s="22" t="s">
        <v>808</v>
      </c>
      <c r="D1" s="28" t="s">
        <v>287</v>
      </c>
      <c r="E1" s="28" t="s">
        <v>809</v>
      </c>
    </row>
    <row r="2" spans="1:5" ht="12.75" customHeight="1">
      <c r="A2" s="23" t="s">
        <v>51</v>
      </c>
      <c r="B2" s="24">
        <v>13874.3</v>
      </c>
      <c r="C2" s="24">
        <f>'2 programa'!H140</f>
        <v>17477.599999999999</v>
      </c>
      <c r="D2" s="24">
        <f>'2 programa'!I140</f>
        <v>17540.682800000002</v>
      </c>
      <c r="E2" s="24">
        <f>'2 programa'!J140</f>
        <v>17168.374496800003</v>
      </c>
    </row>
    <row r="3" spans="1:5">
      <c r="A3" s="21" t="s">
        <v>52</v>
      </c>
      <c r="B3" s="24">
        <v>13874.3</v>
      </c>
      <c r="C3" s="24">
        <f>SUM(C4:C14)</f>
        <v>17477.600000000002</v>
      </c>
      <c r="D3" s="24">
        <f>SUM(D4:D14)</f>
        <v>17540.682799999999</v>
      </c>
      <c r="E3" s="24">
        <f>SUM(E4:E14)</f>
        <v>17168.374496799999</v>
      </c>
    </row>
    <row r="4" spans="1:5" ht="13.5" customHeight="1">
      <c r="A4" s="372" t="s">
        <v>124</v>
      </c>
      <c r="B4" s="24">
        <v>5042.7</v>
      </c>
      <c r="C4" s="24">
        <f>'2 programa'!H142</f>
        <v>5498.0999999999995</v>
      </c>
      <c r="D4" s="24">
        <f>'2 programa'!I142</f>
        <v>5530.6823999999997</v>
      </c>
      <c r="E4" s="24">
        <f>'2 programa'!J142</f>
        <v>5496.7602943999991</v>
      </c>
    </row>
    <row r="5" spans="1:5" ht="22.5">
      <c r="A5" s="372" t="s">
        <v>125</v>
      </c>
      <c r="B5" s="24">
        <v>1034.6999999999998</v>
      </c>
      <c r="C5" s="24">
        <f>'2 programa'!H143</f>
        <v>1177.6000000000001</v>
      </c>
      <c r="D5" s="24">
        <f>'2 programa'!I143</f>
        <v>1176.2151999999999</v>
      </c>
      <c r="E5" s="24">
        <f>'2 programa'!J143</f>
        <v>1183.2724912000001</v>
      </c>
    </row>
    <row r="6" spans="1:5" ht="22.5">
      <c r="A6" s="372" t="s">
        <v>126</v>
      </c>
      <c r="B6" s="24">
        <v>532</v>
      </c>
      <c r="C6" s="24">
        <f>'2 programa'!H144</f>
        <v>487.7</v>
      </c>
      <c r="D6" s="24">
        <f>'2 programa'!I144</f>
        <v>457.7</v>
      </c>
      <c r="E6" s="24">
        <f>'2 programa'!J144</f>
        <v>50</v>
      </c>
    </row>
    <row r="7" spans="1:5" ht="22.5">
      <c r="A7" s="372" t="s">
        <v>127</v>
      </c>
      <c r="B7" s="24">
        <v>0</v>
      </c>
      <c r="C7" s="24">
        <f>'2 programa'!H145</f>
        <v>0</v>
      </c>
      <c r="D7" s="24">
        <f>'2 programa'!I145</f>
        <v>0</v>
      </c>
      <c r="E7" s="24">
        <f>'2 programa'!J145</f>
        <v>0</v>
      </c>
    </row>
    <row r="8" spans="1:5" ht="22.5">
      <c r="A8" s="372" t="s">
        <v>128</v>
      </c>
      <c r="B8" s="24">
        <v>0</v>
      </c>
      <c r="C8" s="24">
        <f>'2 programa'!H146</f>
        <v>0</v>
      </c>
      <c r="D8" s="24">
        <f>'2 programa'!I146</f>
        <v>0</v>
      </c>
      <c r="E8" s="24">
        <f>'2 programa'!J146</f>
        <v>0</v>
      </c>
    </row>
    <row r="9" spans="1:5" ht="15" customHeight="1">
      <c r="A9" s="372" t="s">
        <v>129</v>
      </c>
      <c r="B9" s="24">
        <v>0</v>
      </c>
      <c r="C9" s="24">
        <f>'2 programa'!H147</f>
        <v>0</v>
      </c>
      <c r="D9" s="24">
        <f>'2 programa'!I147</f>
        <v>0</v>
      </c>
      <c r="E9" s="24">
        <f>'2 programa'!J147</f>
        <v>0</v>
      </c>
    </row>
    <row r="10" spans="1:5" ht="22.5">
      <c r="A10" s="372" t="s">
        <v>130</v>
      </c>
      <c r="B10" s="24">
        <v>6842.6</v>
      </c>
      <c r="C10" s="24">
        <f>'2 programa'!H148</f>
        <v>9889</v>
      </c>
      <c r="D10" s="24">
        <f>'2 programa'!I148</f>
        <v>9948.3340000000007</v>
      </c>
      <c r="E10" s="24">
        <f>'2 programa'!J148</f>
        <v>10008.024004000001</v>
      </c>
    </row>
    <row r="11" spans="1:5">
      <c r="A11" s="372" t="s">
        <v>131</v>
      </c>
      <c r="B11" s="24">
        <v>0</v>
      </c>
      <c r="C11" s="24">
        <f>'2 programa'!H149</f>
        <v>0</v>
      </c>
      <c r="D11" s="24">
        <f>'2 programa'!I149</f>
        <v>0</v>
      </c>
      <c r="E11" s="24">
        <f>'2 programa'!J149</f>
        <v>0</v>
      </c>
    </row>
    <row r="12" spans="1:5">
      <c r="A12" s="372" t="s">
        <v>132</v>
      </c>
      <c r="B12" s="24">
        <v>0</v>
      </c>
      <c r="C12" s="24">
        <f>'2 programa'!H150</f>
        <v>0</v>
      </c>
      <c r="D12" s="24">
        <f>'2 programa'!I150</f>
        <v>0</v>
      </c>
      <c r="E12" s="24">
        <f>'2 programa'!J150</f>
        <v>0</v>
      </c>
    </row>
    <row r="13" spans="1:5">
      <c r="A13" s="372" t="s">
        <v>133</v>
      </c>
      <c r="B13" s="24">
        <v>0</v>
      </c>
      <c r="C13" s="24">
        <f>'2 programa'!H151</f>
        <v>0</v>
      </c>
      <c r="D13" s="24">
        <f>'2 programa'!I151</f>
        <v>0</v>
      </c>
      <c r="E13" s="24">
        <f>'2 programa'!J151</f>
        <v>0</v>
      </c>
    </row>
    <row r="14" spans="1:5">
      <c r="A14" s="372" t="s">
        <v>134</v>
      </c>
      <c r="B14" s="24">
        <v>422.3</v>
      </c>
      <c r="C14" s="24">
        <f>'2 programa'!H152</f>
        <v>425.20000000000005</v>
      </c>
      <c r="D14" s="24">
        <f>'2 programa'!I152</f>
        <v>427.75119999999993</v>
      </c>
      <c r="E14" s="24">
        <f>'2 programa'!J152</f>
        <v>430.31770719999997</v>
      </c>
    </row>
    <row r="15" spans="1:5">
      <c r="B15" s="20"/>
      <c r="C15" s="20"/>
      <c r="D15" s="20"/>
      <c r="E15" s="20"/>
    </row>
  </sheetData>
  <phoneticPr fontId="6" type="noConversion"/>
  <pageMargins left="0.75" right="0.75" top="1" bottom="1" header="0" footer="0"/>
  <pageSetup paperSize="9" orientation="portrait" verticalDpi="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workbookViewId="0">
      <selection activeCell="B2" sqref="B2:B14"/>
    </sheetView>
  </sheetViews>
  <sheetFormatPr defaultRowHeight="12.75"/>
  <cols>
    <col min="1" max="1" width="22.85546875" customWidth="1"/>
    <col min="2" max="5" width="11.140625" customWidth="1"/>
  </cols>
  <sheetData>
    <row r="1" spans="1:5" ht="38.25" customHeight="1">
      <c r="A1" s="28"/>
      <c r="B1" s="28" t="s">
        <v>807</v>
      </c>
      <c r="C1" s="22" t="s">
        <v>808</v>
      </c>
      <c r="D1" s="28" t="s">
        <v>287</v>
      </c>
      <c r="E1" s="28" t="s">
        <v>809</v>
      </c>
    </row>
    <row r="2" spans="1:5" ht="12.75" customHeight="1">
      <c r="A2" s="23" t="s">
        <v>51</v>
      </c>
      <c r="B2" s="24">
        <v>342.2</v>
      </c>
      <c r="C2" s="24">
        <f>'3 programa'!H41</f>
        <v>391.40000000000003</v>
      </c>
      <c r="D2" s="24">
        <f>'3 programa'!I41</f>
        <v>710.39380000000006</v>
      </c>
      <c r="E2" s="24">
        <f>'3 programa'!J41</f>
        <v>360.92718480000002</v>
      </c>
    </row>
    <row r="3" spans="1:5">
      <c r="A3" s="21" t="s">
        <v>52</v>
      </c>
      <c r="B3" s="24">
        <v>342.19999999999993</v>
      </c>
      <c r="C3" s="24">
        <f>SUM(C4:C14)</f>
        <v>391.4</v>
      </c>
      <c r="D3" s="24">
        <f>SUM(D4:D14)</f>
        <v>710.39380000000006</v>
      </c>
      <c r="E3" s="24">
        <f>SUM(E4:E14)</f>
        <v>360.92718480000002</v>
      </c>
    </row>
    <row r="4" spans="1:5" ht="13.5" customHeight="1">
      <c r="A4" s="372" t="s">
        <v>124</v>
      </c>
      <c r="B4" s="24">
        <v>22.2</v>
      </c>
      <c r="C4" s="24">
        <f>'3 programa'!H43</f>
        <v>116.19999999999999</v>
      </c>
      <c r="D4" s="24">
        <f>'3 programa'!I43</f>
        <v>123.3188</v>
      </c>
      <c r="E4" s="24">
        <f>'3 programa'!J43</f>
        <v>99.740112799999991</v>
      </c>
    </row>
    <row r="5" spans="1:5" ht="22.5">
      <c r="A5" s="372" t="s">
        <v>125</v>
      </c>
      <c r="B5" s="24">
        <v>170.69999999999996</v>
      </c>
      <c r="C5" s="24">
        <f>'3 programa'!H44</f>
        <v>110.5</v>
      </c>
      <c r="D5" s="24">
        <f>'3 programa'!I44</f>
        <v>111.16300000000001</v>
      </c>
      <c r="E5" s="24">
        <f>'3 programa'!J44</f>
        <v>111.16300000000001</v>
      </c>
    </row>
    <row r="6" spans="1:5" ht="22.5">
      <c r="A6" s="372" t="s">
        <v>126</v>
      </c>
      <c r="B6" s="24">
        <v>0</v>
      </c>
      <c r="C6" s="24">
        <f>'3 programa'!H45</f>
        <v>59.4</v>
      </c>
      <c r="D6" s="24">
        <f>'3 programa'!I45</f>
        <v>362.6</v>
      </c>
      <c r="E6" s="24">
        <f>'3 programa'!J45</f>
        <v>54.7</v>
      </c>
    </row>
    <row r="7" spans="1:5" ht="22.5">
      <c r="A7" s="372" t="s">
        <v>127</v>
      </c>
      <c r="B7" s="24">
        <v>72.599999999999994</v>
      </c>
      <c r="C7" s="24">
        <f>'3 programa'!H46</f>
        <v>92.7</v>
      </c>
      <c r="D7" s="24">
        <f>'3 programa'!I46</f>
        <v>92.7</v>
      </c>
      <c r="E7" s="24">
        <f>'3 programa'!J46</f>
        <v>92.7</v>
      </c>
    </row>
    <row r="8" spans="1:5" ht="22.5">
      <c r="A8" s="372" t="s">
        <v>128</v>
      </c>
      <c r="B8" s="24">
        <v>0</v>
      </c>
      <c r="C8" s="24">
        <f>'3 programa'!H47</f>
        <v>0</v>
      </c>
      <c r="D8" s="24">
        <f>'3 programa'!I47</f>
        <v>0</v>
      </c>
      <c r="E8" s="24">
        <f>'3 programa'!J47</f>
        <v>0</v>
      </c>
    </row>
    <row r="9" spans="1:5" ht="15" customHeight="1">
      <c r="A9" s="372" t="s">
        <v>129</v>
      </c>
      <c r="B9" s="24">
        <v>0</v>
      </c>
      <c r="C9" s="24">
        <f>'3 programa'!H48</f>
        <v>0</v>
      </c>
      <c r="D9" s="24">
        <f>'3 programa'!I48</f>
        <v>0</v>
      </c>
      <c r="E9" s="24">
        <f>'3 programa'!J48</f>
        <v>0</v>
      </c>
    </row>
    <row r="10" spans="1:5" ht="22.5">
      <c r="A10" s="372" t="s">
        <v>130</v>
      </c>
      <c r="B10" s="24">
        <v>11.4</v>
      </c>
      <c r="C10" s="24">
        <f>'3 programa'!H49</f>
        <v>10.6</v>
      </c>
      <c r="D10" s="24">
        <f>'3 programa'!I49</f>
        <v>18.600000000000001</v>
      </c>
      <c r="E10" s="24">
        <f>'3 programa'!J49</f>
        <v>0.6</v>
      </c>
    </row>
    <row r="11" spans="1:5">
      <c r="A11" s="372" t="s">
        <v>131</v>
      </c>
      <c r="B11" s="24">
        <v>0</v>
      </c>
      <c r="C11" s="24">
        <f>'3 programa'!H50</f>
        <v>0</v>
      </c>
      <c r="D11" s="24">
        <f>'3 programa'!I50</f>
        <v>0</v>
      </c>
      <c r="E11" s="24">
        <f>'3 programa'!J50</f>
        <v>0</v>
      </c>
    </row>
    <row r="12" spans="1:5">
      <c r="A12" s="372" t="s">
        <v>132</v>
      </c>
      <c r="B12" s="24">
        <v>0</v>
      </c>
      <c r="C12" s="24">
        <f>'3 programa'!H51</f>
        <v>0</v>
      </c>
      <c r="D12" s="24">
        <f>'3 programa'!I51</f>
        <v>0</v>
      </c>
      <c r="E12" s="24">
        <f>'3 programa'!J51</f>
        <v>0</v>
      </c>
    </row>
    <row r="13" spans="1:5">
      <c r="A13" s="372" t="s">
        <v>133</v>
      </c>
      <c r="B13" s="24">
        <v>64.3</v>
      </c>
      <c r="C13" s="24">
        <f>'3 programa'!H52</f>
        <v>0</v>
      </c>
      <c r="D13" s="24">
        <f>'3 programa'!I52</f>
        <v>0</v>
      </c>
      <c r="E13" s="24">
        <f>'3 programa'!J52</f>
        <v>0</v>
      </c>
    </row>
    <row r="14" spans="1:5" ht="15" customHeight="1">
      <c r="A14" s="372" t="s">
        <v>134</v>
      </c>
      <c r="B14" s="24">
        <v>1</v>
      </c>
      <c r="C14" s="24">
        <f>'3 programa'!H53</f>
        <v>2</v>
      </c>
      <c r="D14" s="24">
        <f>'3 programa'!I53</f>
        <v>2.012</v>
      </c>
      <c r="E14" s="24">
        <f>'3 programa'!J53</f>
        <v>2.0240719999999999</v>
      </c>
    </row>
    <row r="15" spans="1:5">
      <c r="B15" s="20"/>
      <c r="C15" s="20"/>
      <c r="D15" s="20"/>
      <c r="E15" s="20"/>
    </row>
  </sheetData>
  <phoneticPr fontId="6" type="noConversion"/>
  <pageMargins left="0.75" right="0.75" top="1" bottom="1" header="0" footer="0"/>
  <pageSetup paperSize="9" orientation="portrait" verticalDpi="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workbookViewId="0">
      <selection activeCell="B2" sqref="B2:B14"/>
    </sheetView>
  </sheetViews>
  <sheetFormatPr defaultRowHeight="12.75"/>
  <cols>
    <col min="1" max="1" width="22.28515625" customWidth="1"/>
    <col min="2" max="5" width="12.140625" customWidth="1"/>
  </cols>
  <sheetData>
    <row r="1" spans="1:5" ht="38.25">
      <c r="A1" s="28"/>
      <c r="B1" s="28" t="s">
        <v>807</v>
      </c>
      <c r="C1" s="22" t="s">
        <v>808</v>
      </c>
      <c r="D1" s="28" t="s">
        <v>287</v>
      </c>
      <c r="E1" s="28" t="s">
        <v>809</v>
      </c>
    </row>
    <row r="2" spans="1:5">
      <c r="A2" s="23" t="s">
        <v>51</v>
      </c>
      <c r="B2" s="24">
        <v>654.20000000000005</v>
      </c>
      <c r="C2" s="24">
        <f>'4 programa'!H53</f>
        <v>1446</v>
      </c>
      <c r="D2" s="24">
        <f>'4 programa'!I53</f>
        <v>891.4</v>
      </c>
      <c r="E2" s="24">
        <f>'4 programa'!J53</f>
        <v>868.4</v>
      </c>
    </row>
    <row r="3" spans="1:5" ht="13.5" customHeight="1">
      <c r="A3" s="21" t="s">
        <v>52</v>
      </c>
      <c r="B3" s="24">
        <v>653.6</v>
      </c>
      <c r="C3" s="24">
        <f>SUM(C4:C14)</f>
        <v>1446</v>
      </c>
      <c r="D3" s="24">
        <f>SUM(D4:D14)</f>
        <v>891.4</v>
      </c>
      <c r="E3" s="24">
        <f>SUM(E4:E14)</f>
        <v>868.4</v>
      </c>
    </row>
    <row r="4" spans="1:5">
      <c r="A4" s="372" t="s">
        <v>124</v>
      </c>
      <c r="B4" s="24">
        <v>519.6</v>
      </c>
      <c r="C4" s="24">
        <f>'4 programa'!H55</f>
        <v>1158.5999999999999</v>
      </c>
      <c r="D4" s="24">
        <f>'4 programa'!I55</f>
        <v>646</v>
      </c>
      <c r="E4" s="24">
        <f>'4 programa'!J55</f>
        <v>641</v>
      </c>
    </row>
    <row r="5" spans="1:5" ht="25.5" customHeight="1">
      <c r="A5" s="372" t="s">
        <v>125</v>
      </c>
      <c r="B5" s="24">
        <v>122.6</v>
      </c>
      <c r="C5" s="24">
        <f>'4 programa'!H56</f>
        <v>152.9</v>
      </c>
      <c r="D5" s="24">
        <f>'4 programa'!I56</f>
        <v>152.9</v>
      </c>
      <c r="E5" s="24">
        <f>'4 programa'!J56</f>
        <v>152.9</v>
      </c>
    </row>
    <row r="6" spans="1:5" ht="22.5">
      <c r="A6" s="372" t="s">
        <v>126</v>
      </c>
      <c r="B6" s="24">
        <v>0</v>
      </c>
      <c r="C6" s="24">
        <f>'4 programa'!H57</f>
        <v>60</v>
      </c>
      <c r="D6" s="24">
        <f>'4 programa'!I57</f>
        <v>18</v>
      </c>
      <c r="E6" s="24">
        <f>'4 programa'!J57</f>
        <v>0</v>
      </c>
    </row>
    <row r="7" spans="1:5" ht="22.5">
      <c r="A7" s="372" t="s">
        <v>127</v>
      </c>
      <c r="B7" s="24">
        <v>0</v>
      </c>
      <c r="C7" s="24">
        <f>'4 programa'!H58</f>
        <v>0</v>
      </c>
      <c r="D7" s="24">
        <f>'4 programa'!I58</f>
        <v>0</v>
      </c>
      <c r="E7" s="24">
        <f>'4 programa'!J58</f>
        <v>0</v>
      </c>
    </row>
    <row r="8" spans="1:5" ht="22.5">
      <c r="A8" s="372" t="s">
        <v>128</v>
      </c>
      <c r="B8" s="24">
        <v>0</v>
      </c>
      <c r="C8" s="24">
        <f>'4 programa'!H59</f>
        <v>0</v>
      </c>
      <c r="D8" s="24">
        <f>'4 programa'!I59</f>
        <v>0</v>
      </c>
      <c r="E8" s="24">
        <f>'4 programa'!J59</f>
        <v>0</v>
      </c>
    </row>
    <row r="9" spans="1:5" ht="15" customHeight="1">
      <c r="A9" s="372" t="s">
        <v>129</v>
      </c>
      <c r="B9" s="24">
        <v>11.4</v>
      </c>
      <c r="C9" s="24">
        <f>'4 programa'!H60</f>
        <v>64.5</v>
      </c>
      <c r="D9" s="24">
        <f>'4 programa'!I60</f>
        <v>64.5</v>
      </c>
      <c r="E9" s="24">
        <f>'4 programa'!J60</f>
        <v>64.5</v>
      </c>
    </row>
    <row r="10" spans="1:5" ht="22.5">
      <c r="A10" s="372" t="s">
        <v>130</v>
      </c>
      <c r="B10" s="24">
        <v>0</v>
      </c>
      <c r="C10" s="24">
        <f>'4 programa'!H61</f>
        <v>0</v>
      </c>
      <c r="D10" s="24">
        <f>'4 programa'!I61</f>
        <v>0</v>
      </c>
      <c r="E10" s="24">
        <f>'4 programa'!J61</f>
        <v>0</v>
      </c>
    </row>
    <row r="11" spans="1:5" ht="15" customHeight="1">
      <c r="A11" s="372" t="s">
        <v>131</v>
      </c>
      <c r="B11" s="24">
        <v>0</v>
      </c>
      <c r="C11" s="24">
        <f>'4 programa'!H62</f>
        <v>0</v>
      </c>
      <c r="D11" s="24">
        <f>'4 programa'!I62</f>
        <v>0</v>
      </c>
      <c r="E11" s="24">
        <f>'4 programa'!J62</f>
        <v>0</v>
      </c>
    </row>
    <row r="12" spans="1:5" ht="14.25" customHeight="1">
      <c r="A12" s="372" t="s">
        <v>132</v>
      </c>
      <c r="B12" s="24">
        <v>0</v>
      </c>
      <c r="C12" s="24">
        <f>'4 programa'!H63</f>
        <v>0</v>
      </c>
      <c r="D12" s="24">
        <f>'4 programa'!I63</f>
        <v>0</v>
      </c>
      <c r="E12" s="24">
        <f>'4 programa'!J63</f>
        <v>0</v>
      </c>
    </row>
    <row r="13" spans="1:5">
      <c r="A13" s="372" t="s">
        <v>133</v>
      </c>
      <c r="B13" s="24">
        <v>0</v>
      </c>
      <c r="C13" s="24">
        <f>'4 programa'!H64</f>
        <v>10</v>
      </c>
      <c r="D13" s="24">
        <f>'4 programa'!I64</f>
        <v>10</v>
      </c>
      <c r="E13" s="24">
        <f>'4 programa'!J64</f>
        <v>10</v>
      </c>
    </row>
    <row r="14" spans="1:5" ht="22.5">
      <c r="A14" s="372" t="s">
        <v>134</v>
      </c>
      <c r="B14" s="24">
        <v>0</v>
      </c>
      <c r="C14" s="24">
        <f>'4 programa'!H65</f>
        <v>0</v>
      </c>
      <c r="D14" s="24">
        <f>'4 programa'!I65</f>
        <v>0</v>
      </c>
      <c r="E14" s="24">
        <f>'4 programa'!J65</f>
        <v>0</v>
      </c>
    </row>
  </sheetData>
  <phoneticPr fontId="6" type="noConversion"/>
  <pageMargins left="0.75" right="0.75" top="1" bottom="1" header="0" footer="0"/>
  <pageSetup paperSize="9" orientation="portrait" verticalDpi="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workbookViewId="0">
      <selection activeCell="B2" sqref="B2:B14"/>
    </sheetView>
  </sheetViews>
  <sheetFormatPr defaultRowHeight="12.75"/>
  <cols>
    <col min="1" max="1" width="21" customWidth="1"/>
    <col min="2" max="5" width="10.7109375" customWidth="1"/>
  </cols>
  <sheetData>
    <row r="1" spans="1:5" ht="51.75" customHeight="1">
      <c r="A1" s="28"/>
      <c r="B1" s="28" t="s">
        <v>807</v>
      </c>
      <c r="C1" s="22" t="s">
        <v>808</v>
      </c>
      <c r="D1" s="28" t="s">
        <v>287</v>
      </c>
      <c r="E1" s="28" t="s">
        <v>809</v>
      </c>
    </row>
    <row r="2" spans="1:5" ht="15" customHeight="1">
      <c r="A2" s="23" t="s">
        <v>51</v>
      </c>
      <c r="B2" s="24">
        <v>751.8</v>
      </c>
      <c r="C2" s="24">
        <f>'5 programa'!H51</f>
        <v>1925</v>
      </c>
      <c r="D2" s="24">
        <f>'5 programa'!I51</f>
        <v>1083.3026</v>
      </c>
      <c r="E2" s="24">
        <f>'5 programa'!J51</f>
        <v>370.31481559999997</v>
      </c>
    </row>
    <row r="3" spans="1:5" ht="15" customHeight="1">
      <c r="A3" s="21" t="s">
        <v>52</v>
      </c>
      <c r="B3" s="24">
        <v>751.8</v>
      </c>
      <c r="C3" s="24">
        <f>SUM(C4:C14)</f>
        <v>1925</v>
      </c>
      <c r="D3" s="24">
        <f>SUM(D4:D14)</f>
        <v>1083.3026</v>
      </c>
      <c r="E3" s="24">
        <f>SUM(E4:E14)</f>
        <v>370.31481559999997</v>
      </c>
    </row>
    <row r="4" spans="1:5">
      <c r="A4" s="372" t="s">
        <v>124</v>
      </c>
      <c r="B4" s="24">
        <v>133.80000000000001</v>
      </c>
      <c r="C4" s="24">
        <f>'5 programa'!H53</f>
        <v>500.8</v>
      </c>
      <c r="D4" s="24">
        <f>'5 programa'!I53</f>
        <v>267.49860000000001</v>
      </c>
      <c r="E4" s="24">
        <f>'5 programa'!J53</f>
        <v>164.70199159999999</v>
      </c>
    </row>
    <row r="5" spans="1:5" ht="22.5">
      <c r="A5" s="372" t="s">
        <v>125</v>
      </c>
      <c r="B5" s="24">
        <v>137</v>
      </c>
      <c r="C5" s="24">
        <f>'5 programa'!H54</f>
        <v>134</v>
      </c>
      <c r="D5" s="24">
        <f>'5 programa'!I54</f>
        <v>134.804</v>
      </c>
      <c r="E5" s="24">
        <f>'5 programa'!J54</f>
        <v>135.61282399999999</v>
      </c>
    </row>
    <row r="6" spans="1:5" ht="22.5">
      <c r="A6" s="372" t="s">
        <v>126</v>
      </c>
      <c r="B6" s="24">
        <v>481</v>
      </c>
      <c r="C6" s="24">
        <f>'5 programa'!H55</f>
        <v>1290.2</v>
      </c>
      <c r="D6" s="24">
        <f>'5 programa'!I55</f>
        <v>681</v>
      </c>
      <c r="E6" s="24">
        <f>'5 programa'!J55</f>
        <v>70</v>
      </c>
    </row>
    <row r="7" spans="1:5" ht="22.5">
      <c r="A7" s="372" t="s">
        <v>127</v>
      </c>
      <c r="B7" s="24">
        <v>0</v>
      </c>
      <c r="C7" s="24">
        <f>'5 programa'!H56</f>
        <v>0</v>
      </c>
      <c r="D7" s="24">
        <f>'5 programa'!I56</f>
        <v>0</v>
      </c>
      <c r="E7" s="24">
        <f>'5 programa'!J56</f>
        <v>0</v>
      </c>
    </row>
    <row r="8" spans="1:5" ht="22.5">
      <c r="A8" s="372" t="s">
        <v>128</v>
      </c>
      <c r="B8" s="24">
        <v>0</v>
      </c>
      <c r="C8" s="24">
        <f>'5 programa'!H57</f>
        <v>0</v>
      </c>
      <c r="D8" s="24">
        <f>'5 programa'!I57</f>
        <v>0</v>
      </c>
      <c r="E8" s="24">
        <f>'5 programa'!J57</f>
        <v>0</v>
      </c>
    </row>
    <row r="9" spans="1:5" ht="15" customHeight="1">
      <c r="A9" s="372" t="s">
        <v>129</v>
      </c>
      <c r="B9" s="24">
        <v>0</v>
      </c>
      <c r="C9" s="24">
        <f>'5 programa'!H58</f>
        <v>0</v>
      </c>
      <c r="D9" s="24">
        <f>'5 programa'!I58</f>
        <v>0</v>
      </c>
      <c r="E9" s="24">
        <f>'5 programa'!J58</f>
        <v>0</v>
      </c>
    </row>
    <row r="10" spans="1:5" ht="22.5">
      <c r="A10" s="372" t="s">
        <v>130</v>
      </c>
      <c r="B10" s="24">
        <v>0</v>
      </c>
      <c r="C10" s="24">
        <f>'5 programa'!H59</f>
        <v>0</v>
      </c>
      <c r="D10" s="24">
        <f>'5 programa'!I59</f>
        <v>0</v>
      </c>
      <c r="E10" s="24">
        <f>'5 programa'!J59</f>
        <v>0</v>
      </c>
    </row>
    <row r="11" spans="1:5" ht="14.25" customHeight="1">
      <c r="A11" s="372" t="s">
        <v>131</v>
      </c>
      <c r="B11" s="24">
        <v>0</v>
      </c>
      <c r="C11" s="24">
        <f>'5 programa'!H60</f>
        <v>0</v>
      </c>
      <c r="D11" s="24">
        <f>'5 programa'!I60</f>
        <v>0</v>
      </c>
      <c r="E11" s="24">
        <f>'5 programa'!J60</f>
        <v>0</v>
      </c>
    </row>
    <row r="12" spans="1:5" ht="14.25" customHeight="1">
      <c r="A12" s="372" t="s">
        <v>132</v>
      </c>
      <c r="B12" s="24">
        <v>0</v>
      </c>
      <c r="C12" s="24">
        <f>'5 programa'!H61</f>
        <v>0</v>
      </c>
      <c r="D12" s="24">
        <f>'5 programa'!I61</f>
        <v>0</v>
      </c>
      <c r="E12" s="24">
        <f>'5 programa'!J61</f>
        <v>0</v>
      </c>
    </row>
    <row r="13" spans="1:5" ht="14.25" customHeight="1">
      <c r="A13" s="372" t="s">
        <v>133</v>
      </c>
      <c r="B13" s="24">
        <v>0</v>
      </c>
      <c r="C13" s="24">
        <f>'5 programa'!H62</f>
        <v>0</v>
      </c>
      <c r="D13" s="24">
        <f>'5 programa'!I62</f>
        <v>0</v>
      </c>
      <c r="E13" s="24">
        <f>'5 programa'!J62</f>
        <v>0</v>
      </c>
    </row>
    <row r="14" spans="1:5" ht="22.5">
      <c r="A14" s="372" t="s">
        <v>134</v>
      </c>
      <c r="B14" s="24">
        <v>0</v>
      </c>
      <c r="C14" s="24">
        <f>'5 programa'!H63</f>
        <v>0</v>
      </c>
      <c r="D14" s="24">
        <f>'5 programa'!I63</f>
        <v>0</v>
      </c>
      <c r="E14" s="24">
        <f>'5 programa'!J63</f>
        <v>0</v>
      </c>
    </row>
    <row r="15" spans="1:5">
      <c r="B15" s="20"/>
      <c r="C15" s="20"/>
      <c r="D15" s="20"/>
      <c r="E15" s="20"/>
    </row>
  </sheetData>
  <phoneticPr fontId="6" type="noConversion"/>
  <pageMargins left="0.75" right="0.75" top="1" bottom="1" header="0" footer="0"/>
  <pageSetup paperSize="9" orientation="portrait" verticalDpi="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workbookViewId="0">
      <selection activeCell="C12" sqref="C12"/>
    </sheetView>
  </sheetViews>
  <sheetFormatPr defaultRowHeight="12.75"/>
  <cols>
    <col min="1" max="1" width="20.28515625" customWidth="1"/>
    <col min="2" max="5" width="10.7109375" customWidth="1"/>
  </cols>
  <sheetData>
    <row r="1" spans="1:5" ht="49.5" customHeight="1">
      <c r="A1" s="28"/>
      <c r="B1" s="28" t="s">
        <v>807</v>
      </c>
      <c r="C1" s="22" t="s">
        <v>808</v>
      </c>
      <c r="D1" s="28" t="s">
        <v>287</v>
      </c>
      <c r="E1" s="28" t="s">
        <v>809</v>
      </c>
    </row>
    <row r="2" spans="1:5" ht="12.75" customHeight="1">
      <c r="A2" s="23" t="s">
        <v>51</v>
      </c>
      <c r="B2" s="24">
        <v>3822.8</v>
      </c>
      <c r="C2" s="24">
        <f>'6 programa'!H77</f>
        <v>2745.2999999999997</v>
      </c>
      <c r="D2" s="24">
        <f>'6 programa'!I77</f>
        <v>1353.2367999999999</v>
      </c>
      <c r="E2" s="24">
        <f>'6 programa'!J77</f>
        <v>1385.8016188000001</v>
      </c>
    </row>
    <row r="3" spans="1:5" ht="14.25" customHeight="1">
      <c r="A3" s="21" t="s">
        <v>52</v>
      </c>
      <c r="B3" s="24">
        <v>3822.8</v>
      </c>
      <c r="C3" s="24">
        <f>SUM(C4:C14)</f>
        <v>2745.3</v>
      </c>
      <c r="D3" s="24">
        <f>SUM(D4:D14)</f>
        <v>1353.2367999999999</v>
      </c>
      <c r="E3" s="24">
        <f>SUM(E4:E14)</f>
        <v>1385.8016188000001</v>
      </c>
    </row>
    <row r="4" spans="1:5" ht="14.25" customHeight="1">
      <c r="A4" s="372" t="s">
        <v>124</v>
      </c>
      <c r="B4" s="24">
        <v>127.2</v>
      </c>
      <c r="C4" s="24">
        <f>'6 programa'!H79</f>
        <v>146.6</v>
      </c>
      <c r="D4" s="24">
        <f>'6 programa'!I79</f>
        <v>119.2368</v>
      </c>
      <c r="E4" s="24">
        <f>'6 programa'!J79</f>
        <v>362.70338279999999</v>
      </c>
    </row>
    <row r="5" spans="1:5" ht="24.75" customHeight="1">
      <c r="A5" s="372" t="s">
        <v>125</v>
      </c>
      <c r="B5" s="24">
        <v>414.6</v>
      </c>
      <c r="C5" s="24">
        <f>'6 programa'!H80</f>
        <v>498.9</v>
      </c>
      <c r="D5" s="24">
        <f>'6 programa'!I80</f>
        <v>528.83399999999995</v>
      </c>
      <c r="E5" s="24">
        <f>'6 programa'!J80</f>
        <v>560.56403999999998</v>
      </c>
    </row>
    <row r="6" spans="1:5" ht="22.5">
      <c r="A6" s="372" t="s">
        <v>126</v>
      </c>
      <c r="B6" s="24">
        <v>2927.1</v>
      </c>
      <c r="C6" s="24">
        <f>'6 programa'!H81</f>
        <v>1638</v>
      </c>
      <c r="D6" s="24">
        <f>'6 programa'!I81</f>
        <v>243</v>
      </c>
      <c r="E6" s="24">
        <f>'6 programa'!J81</f>
        <v>0</v>
      </c>
    </row>
    <row r="7" spans="1:5" ht="22.5">
      <c r="A7" s="372" t="s">
        <v>127</v>
      </c>
      <c r="B7" s="24">
        <v>353.9</v>
      </c>
      <c r="C7" s="24">
        <f>'6 programa'!H82</f>
        <v>460.8</v>
      </c>
      <c r="D7" s="24">
        <f>'6 programa'!I82</f>
        <v>461.15999999999997</v>
      </c>
      <c r="E7" s="24">
        <f>'6 programa'!J82</f>
        <v>461.52216000000004</v>
      </c>
    </row>
    <row r="8" spans="1:5" ht="22.5">
      <c r="A8" s="372" t="s">
        <v>128</v>
      </c>
      <c r="B8" s="24">
        <v>0</v>
      </c>
      <c r="C8" s="24">
        <f>'6 programa'!H83</f>
        <v>0</v>
      </c>
      <c r="D8" s="24">
        <f>'6 programa'!I83</f>
        <v>0</v>
      </c>
      <c r="E8" s="24">
        <f>'6 programa'!J83</f>
        <v>0</v>
      </c>
    </row>
    <row r="9" spans="1:5" ht="13.5" customHeight="1">
      <c r="A9" s="372" t="s">
        <v>129</v>
      </c>
      <c r="B9" s="24">
        <v>0</v>
      </c>
      <c r="C9" s="24">
        <f>'6 programa'!H84</f>
        <v>0</v>
      </c>
      <c r="D9" s="24">
        <f>'6 programa'!I84</f>
        <v>0</v>
      </c>
      <c r="E9" s="24">
        <f>'6 programa'!J84</f>
        <v>0</v>
      </c>
    </row>
    <row r="10" spans="1:5" ht="22.5">
      <c r="A10" s="372" t="s">
        <v>130</v>
      </c>
      <c r="B10" s="24">
        <v>0</v>
      </c>
      <c r="C10" s="24">
        <f>'6 programa'!H85</f>
        <v>1</v>
      </c>
      <c r="D10" s="24">
        <f>'6 programa'!I85</f>
        <v>1.006</v>
      </c>
      <c r="E10" s="24">
        <f>'6 programa'!J85</f>
        <v>1.0120359999999999</v>
      </c>
    </row>
    <row r="11" spans="1:5" ht="15" customHeight="1">
      <c r="A11" s="372" t="s">
        <v>131</v>
      </c>
      <c r="B11" s="24">
        <v>0</v>
      </c>
      <c r="C11" s="24">
        <f>'6 programa'!H86</f>
        <v>0</v>
      </c>
      <c r="D11" s="24">
        <f>'6 programa'!I86</f>
        <v>0</v>
      </c>
      <c r="E11" s="24">
        <f>'6 programa'!J86</f>
        <v>0</v>
      </c>
    </row>
    <row r="12" spans="1:5" ht="14.25" customHeight="1">
      <c r="A12" s="372" t="s">
        <v>132</v>
      </c>
      <c r="B12" s="24">
        <v>0</v>
      </c>
      <c r="C12" s="24">
        <f>'6 programa'!H87</f>
        <v>0</v>
      </c>
      <c r="D12" s="24">
        <f>'6 programa'!I87</f>
        <v>0</v>
      </c>
      <c r="E12" s="24">
        <f>'6 programa'!J87</f>
        <v>0</v>
      </c>
    </row>
    <row r="13" spans="1:5">
      <c r="A13" s="372" t="s">
        <v>133</v>
      </c>
      <c r="B13" s="24">
        <v>0</v>
      </c>
      <c r="C13" s="24">
        <f>'6 programa'!H88</f>
        <v>0</v>
      </c>
      <c r="D13" s="24">
        <f>'6 programa'!I88</f>
        <v>0</v>
      </c>
      <c r="E13" s="24">
        <f>'6 programa'!J88</f>
        <v>0</v>
      </c>
    </row>
    <row r="14" spans="1:5" ht="22.5">
      <c r="A14" s="372" t="s">
        <v>134</v>
      </c>
      <c r="B14" s="24">
        <v>0</v>
      </c>
      <c r="C14" s="24">
        <f>'6 programa'!H89</f>
        <v>0</v>
      </c>
      <c r="D14" s="24">
        <f>'6 programa'!I89</f>
        <v>0</v>
      </c>
      <c r="E14" s="24">
        <f>'6 programa'!J89</f>
        <v>0</v>
      </c>
    </row>
    <row r="15" spans="1:5">
      <c r="B15" s="20"/>
      <c r="C15" s="20"/>
      <c r="D15" s="20"/>
      <c r="E15" s="20"/>
    </row>
  </sheetData>
  <phoneticPr fontId="6" type="noConversion"/>
  <pageMargins left="0.75" right="0.75" top="1" bottom="1" header="0" footer="0"/>
  <pageSetup paperSize="9" orientation="portrait" verticalDpi="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workbookViewId="0">
      <selection activeCell="D16" sqref="D16"/>
    </sheetView>
  </sheetViews>
  <sheetFormatPr defaultRowHeight="12.75"/>
  <cols>
    <col min="1" max="1" width="21.5703125" customWidth="1"/>
    <col min="2" max="5" width="10.7109375" customWidth="1"/>
  </cols>
  <sheetData>
    <row r="1" spans="1:5" ht="51" customHeight="1">
      <c r="A1" s="28"/>
      <c r="B1" s="28" t="s">
        <v>807</v>
      </c>
      <c r="C1" s="22" t="s">
        <v>808</v>
      </c>
      <c r="D1" s="28" t="s">
        <v>287</v>
      </c>
      <c r="E1" s="28" t="s">
        <v>809</v>
      </c>
    </row>
    <row r="2" spans="1:5" ht="12.75" customHeight="1">
      <c r="A2" s="23" t="s">
        <v>51</v>
      </c>
      <c r="B2" s="24">
        <v>13046.599999999999</v>
      </c>
      <c r="C2" s="24">
        <f>'7 programa'!H274</f>
        <v>13927.9</v>
      </c>
      <c r="D2" s="24">
        <f>'7 programa'!I274</f>
        <v>9877.6149999999998</v>
      </c>
      <c r="E2" s="24">
        <f>'7 programa'!J274</f>
        <v>7811.4691699999994</v>
      </c>
    </row>
    <row r="3" spans="1:5">
      <c r="A3" s="21" t="s">
        <v>52</v>
      </c>
      <c r="B3" s="24">
        <v>13046.6</v>
      </c>
      <c r="C3" s="24">
        <f>SUM(C4:C14)</f>
        <v>13927.900000000001</v>
      </c>
      <c r="D3" s="24">
        <f>SUM(D4:D14)</f>
        <v>9877.6150000000016</v>
      </c>
      <c r="E3" s="24">
        <f>SUM(E4:E14)</f>
        <v>7811.4691699999994</v>
      </c>
    </row>
    <row r="4" spans="1:5">
      <c r="A4" s="372" t="s">
        <v>124</v>
      </c>
      <c r="B4" s="317">
        <v>5507</v>
      </c>
      <c r="C4" s="24">
        <f>'7 programa'!H276</f>
        <v>8345.1</v>
      </c>
      <c r="D4" s="24">
        <f>'7 programa'!I276</f>
        <v>5000.7926000000007</v>
      </c>
      <c r="E4" s="24">
        <f>'7 programa'!J276</f>
        <v>4497.2033555999997</v>
      </c>
    </row>
    <row r="5" spans="1:5" ht="22.5">
      <c r="A5" s="372" t="s">
        <v>125</v>
      </c>
      <c r="B5" s="317">
        <v>706</v>
      </c>
      <c r="C5" s="24">
        <f>'7 programa'!H277</f>
        <v>0</v>
      </c>
      <c r="D5" s="24">
        <f>'7 programa'!I277</f>
        <v>0</v>
      </c>
      <c r="E5" s="24">
        <f>'7 programa'!J277</f>
        <v>0</v>
      </c>
    </row>
    <row r="6" spans="1:5" ht="22.5">
      <c r="A6" s="372" t="s">
        <v>126</v>
      </c>
      <c r="B6" s="317">
        <v>1882.2</v>
      </c>
      <c r="C6" s="24">
        <f>'7 programa'!H278</f>
        <v>940.1</v>
      </c>
      <c r="D6" s="24">
        <f>'7 programa'!I278</f>
        <v>492.1</v>
      </c>
      <c r="E6" s="24">
        <f>'7 programa'!J278</f>
        <v>827.5</v>
      </c>
    </row>
    <row r="7" spans="1:5" ht="22.5">
      <c r="A7" s="372" t="s">
        <v>127</v>
      </c>
      <c r="B7" s="317">
        <v>0</v>
      </c>
      <c r="C7" s="24">
        <f>'7 programa'!H279</f>
        <v>0</v>
      </c>
      <c r="D7" s="24">
        <f>'7 programa'!I279</f>
        <v>0</v>
      </c>
      <c r="E7" s="24">
        <f>'7 programa'!J279</f>
        <v>0</v>
      </c>
    </row>
    <row r="8" spans="1:5" ht="22.5">
      <c r="A8" s="372" t="s">
        <v>128</v>
      </c>
      <c r="B8" s="317">
        <v>1653.7</v>
      </c>
      <c r="C8" s="24">
        <f>'7 programa'!H280</f>
        <v>2131.5</v>
      </c>
      <c r="D8" s="24">
        <f>'7 programa'!I280</f>
        <v>2266.3224</v>
      </c>
      <c r="E8" s="24">
        <f>'7 programa'!J280</f>
        <v>1752.7658144</v>
      </c>
    </row>
    <row r="9" spans="1:5" ht="13.5" customHeight="1">
      <c r="A9" s="372" t="s">
        <v>129</v>
      </c>
      <c r="B9" s="317">
        <v>0</v>
      </c>
      <c r="C9" s="24">
        <f>'7 programa'!H281</f>
        <v>0</v>
      </c>
      <c r="D9" s="24">
        <f>'7 programa'!I281</f>
        <v>0</v>
      </c>
      <c r="E9" s="24">
        <f>'7 programa'!J281</f>
        <v>0</v>
      </c>
    </row>
    <row r="10" spans="1:5" ht="22.5">
      <c r="A10" s="372" t="s">
        <v>130</v>
      </c>
      <c r="B10" s="317">
        <v>1923.7</v>
      </c>
      <c r="C10" s="24">
        <f>'7 programa'!H282</f>
        <v>2511.1999999999998</v>
      </c>
      <c r="D10" s="24">
        <f>'7 programa'!I282</f>
        <v>2118.4</v>
      </c>
      <c r="E10" s="24">
        <f>'7 programa'!J282</f>
        <v>734</v>
      </c>
    </row>
    <row r="11" spans="1:5">
      <c r="A11" s="372" t="s">
        <v>131</v>
      </c>
      <c r="B11" s="317">
        <v>1374</v>
      </c>
      <c r="C11" s="24">
        <f>'7 programa'!H283</f>
        <v>0</v>
      </c>
      <c r="D11" s="24">
        <f>'7 programa'!I283</f>
        <v>0</v>
      </c>
      <c r="E11" s="24">
        <f>'7 programa'!J283</f>
        <v>0</v>
      </c>
    </row>
    <row r="12" spans="1:5">
      <c r="A12" s="372" t="s">
        <v>132</v>
      </c>
      <c r="B12" s="317">
        <v>0</v>
      </c>
      <c r="C12" s="24">
        <f>'7 programa'!H284</f>
        <v>0</v>
      </c>
      <c r="D12" s="24">
        <f>'7 programa'!I284</f>
        <v>0</v>
      </c>
      <c r="E12" s="24">
        <f>'7 programa'!J284</f>
        <v>0</v>
      </c>
    </row>
    <row r="13" spans="1:5">
      <c r="A13" s="372" t="s">
        <v>133</v>
      </c>
      <c r="B13" s="317">
        <v>0</v>
      </c>
      <c r="C13" s="24">
        <f>'7 programa'!H285</f>
        <v>0</v>
      </c>
      <c r="D13" s="24">
        <f>'7 programa'!I285</f>
        <v>0</v>
      </c>
      <c r="E13" s="24">
        <f>'7 programa'!J285</f>
        <v>0</v>
      </c>
    </row>
    <row r="14" spans="1:5" ht="22.5">
      <c r="A14" s="372" t="s">
        <v>134</v>
      </c>
      <c r="B14" s="317">
        <v>0</v>
      </c>
      <c r="C14" s="24">
        <f>'7 programa'!H286</f>
        <v>0</v>
      </c>
      <c r="D14" s="24">
        <f>'7 programa'!I286</f>
        <v>0</v>
      </c>
      <c r="E14" s="24">
        <f>'7 programa'!J286</f>
        <v>0</v>
      </c>
    </row>
    <row r="15" spans="1:5" ht="15" customHeight="1">
      <c r="B15" s="20"/>
      <c r="C15" s="20"/>
      <c r="D15" s="20"/>
      <c r="E15" s="20"/>
    </row>
    <row r="16" spans="1:5" ht="15" customHeight="1">
      <c r="A16" s="25"/>
      <c r="B16" s="26"/>
      <c r="C16" s="26"/>
      <c r="D16" s="26"/>
      <c r="E16" s="26"/>
    </row>
  </sheetData>
  <phoneticPr fontId="6" type="noConversion"/>
  <pageMargins left="0.75" right="0.75" top="1" bottom="1" header="0" footer="0"/>
  <pageSetup paperSize="9" orientation="portrait" verticalDpi="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workbookViewId="0">
      <selection activeCell="C4" sqref="C4"/>
    </sheetView>
  </sheetViews>
  <sheetFormatPr defaultRowHeight="12.75"/>
  <cols>
    <col min="1" max="1" width="21.5703125" customWidth="1"/>
    <col min="2" max="5" width="10.7109375" customWidth="1"/>
  </cols>
  <sheetData>
    <row r="1" spans="1:5" ht="50.25" customHeight="1">
      <c r="A1" s="28"/>
      <c r="B1" s="28" t="s">
        <v>807</v>
      </c>
      <c r="C1" s="22" t="s">
        <v>808</v>
      </c>
      <c r="D1" s="28" t="s">
        <v>287</v>
      </c>
      <c r="E1" s="28" t="s">
        <v>809</v>
      </c>
    </row>
    <row r="2" spans="1:5" ht="12.75" customHeight="1">
      <c r="A2" s="23" t="s">
        <v>51</v>
      </c>
      <c r="B2" s="24">
        <v>5495</v>
      </c>
      <c r="C2" s="24">
        <f>'8 programa'!H138</f>
        <v>4703.1000000000004</v>
      </c>
      <c r="D2" s="24">
        <f>'8 programa'!I138</f>
        <v>4228.5430000000006</v>
      </c>
      <c r="E2" s="24">
        <f>'8 programa'!J138</f>
        <v>3893.9134580000009</v>
      </c>
    </row>
    <row r="3" spans="1:5">
      <c r="A3" s="21" t="s">
        <v>52</v>
      </c>
      <c r="B3" s="24">
        <v>5495</v>
      </c>
      <c r="C3" s="24">
        <f>SUM(C4:C14)</f>
        <v>4703.1000000000004</v>
      </c>
      <c r="D3" s="24">
        <f>SUM(D4:D14)</f>
        <v>4228.5429999999997</v>
      </c>
      <c r="E3" s="24">
        <f>SUM(E4:E14)</f>
        <v>3893.913458</v>
      </c>
    </row>
    <row r="4" spans="1:5">
      <c r="A4" s="372" t="s">
        <v>124</v>
      </c>
      <c r="B4" s="24">
        <v>4668</v>
      </c>
      <c r="C4" s="24">
        <f>'8 programa'!H140</f>
        <v>3259.4</v>
      </c>
      <c r="D4" s="24">
        <f>'8 programa'!I140</f>
        <v>3318.4463999999998</v>
      </c>
      <c r="E4" s="24">
        <f>'8 programa'!J140</f>
        <v>3289.7070784000002</v>
      </c>
    </row>
    <row r="5" spans="1:5" ht="22.5">
      <c r="A5" s="372" t="s">
        <v>125</v>
      </c>
      <c r="B5" s="24">
        <v>326.49999999999994</v>
      </c>
      <c r="C5" s="24">
        <f>'8 programa'!H141</f>
        <v>293.19999999999993</v>
      </c>
      <c r="D5" s="24">
        <f>'8 programa'!I141</f>
        <v>239.02559999999997</v>
      </c>
      <c r="E5" s="24">
        <f>'8 programa'!J141</f>
        <v>240.45975359999997</v>
      </c>
    </row>
    <row r="6" spans="1:5" ht="22.5">
      <c r="A6" s="372" t="s">
        <v>126</v>
      </c>
      <c r="B6" s="24">
        <v>330.9</v>
      </c>
      <c r="C6" s="24">
        <f>'8 programa'!H142</f>
        <v>984</v>
      </c>
      <c r="D6" s="24">
        <f>'8 programa'!I142</f>
        <v>503.8</v>
      </c>
      <c r="E6" s="24">
        <f>'8 programa'!J142</f>
        <v>233.7</v>
      </c>
    </row>
    <row r="7" spans="1:5" ht="22.5">
      <c r="A7" s="372" t="s">
        <v>127</v>
      </c>
      <c r="B7" s="24">
        <v>0</v>
      </c>
      <c r="C7" s="24">
        <f>'8 programa'!H143</f>
        <v>0</v>
      </c>
      <c r="D7" s="24">
        <f>'8 programa'!I143</f>
        <v>0</v>
      </c>
      <c r="E7" s="24">
        <f>'8 programa'!J143</f>
        <v>0</v>
      </c>
    </row>
    <row r="8" spans="1:5" ht="22.5">
      <c r="A8" s="372" t="s">
        <v>128</v>
      </c>
      <c r="B8" s="24">
        <v>0</v>
      </c>
      <c r="C8" s="24">
        <f>'8 programa'!H144</f>
        <v>0</v>
      </c>
      <c r="D8" s="24">
        <f>'8 programa'!I144</f>
        <v>0</v>
      </c>
      <c r="E8" s="24">
        <f>'8 programa'!J144</f>
        <v>0</v>
      </c>
    </row>
    <row r="9" spans="1:5" ht="12.75" customHeight="1">
      <c r="A9" s="372" t="s">
        <v>129</v>
      </c>
      <c r="B9" s="24">
        <v>0</v>
      </c>
      <c r="C9" s="24">
        <f>'8 programa'!H145</f>
        <v>0</v>
      </c>
      <c r="D9" s="24">
        <f>'8 programa'!I145</f>
        <v>0</v>
      </c>
      <c r="E9" s="24">
        <f>'8 programa'!J145</f>
        <v>0</v>
      </c>
    </row>
    <row r="10" spans="1:5" ht="22.5">
      <c r="A10" s="372" t="s">
        <v>130</v>
      </c>
      <c r="B10" s="24">
        <v>0</v>
      </c>
      <c r="C10" s="24">
        <f>'8 programa'!H146</f>
        <v>38</v>
      </c>
      <c r="D10" s="24">
        <f>'8 programa'!I146</f>
        <v>38</v>
      </c>
      <c r="E10" s="24">
        <f>'8 programa'!J146</f>
        <v>0</v>
      </c>
    </row>
    <row r="11" spans="1:5">
      <c r="A11" s="372" t="s">
        <v>131</v>
      </c>
      <c r="B11" s="24">
        <v>0</v>
      </c>
      <c r="C11" s="24">
        <f>'8 programa'!H147</f>
        <v>0</v>
      </c>
      <c r="D11" s="24">
        <f>'8 programa'!I147</f>
        <v>0</v>
      </c>
      <c r="E11" s="24">
        <f>'8 programa'!J147</f>
        <v>0</v>
      </c>
    </row>
    <row r="12" spans="1:5">
      <c r="A12" s="372" t="s">
        <v>132</v>
      </c>
      <c r="B12" s="24">
        <v>0</v>
      </c>
      <c r="C12" s="24">
        <f>'8 programa'!H148</f>
        <v>0</v>
      </c>
      <c r="D12" s="24">
        <f>'8 programa'!I148</f>
        <v>0</v>
      </c>
      <c r="E12" s="24">
        <f>'8 programa'!J148</f>
        <v>0</v>
      </c>
    </row>
    <row r="13" spans="1:5">
      <c r="A13" s="372" t="s">
        <v>133</v>
      </c>
      <c r="B13" s="24">
        <v>0</v>
      </c>
      <c r="C13" s="24">
        <f>'8 programa'!H149</f>
        <v>0</v>
      </c>
      <c r="D13" s="24">
        <f>'8 programa'!I149</f>
        <v>0</v>
      </c>
      <c r="E13" s="24">
        <f>'8 programa'!J149</f>
        <v>0</v>
      </c>
    </row>
    <row r="14" spans="1:5" ht="22.5">
      <c r="A14" s="372" t="s">
        <v>134</v>
      </c>
      <c r="B14" s="24">
        <v>169.6</v>
      </c>
      <c r="C14" s="24">
        <f>'8 programa'!H150</f>
        <v>128.5</v>
      </c>
      <c r="D14" s="24">
        <f>'8 programa'!I150</f>
        <v>129.27099999999999</v>
      </c>
      <c r="E14" s="24">
        <f>'8 programa'!J150</f>
        <v>130.04662599999997</v>
      </c>
    </row>
    <row r="15" spans="1:5">
      <c r="B15" s="20"/>
      <c r="C15" s="20"/>
      <c r="D15" s="20"/>
      <c r="E15" s="20"/>
    </row>
  </sheetData>
  <phoneticPr fontId="6" type="noConversion"/>
  <pageMargins left="0.75" right="0.75" top="1" bottom="1" header="0" footer="0"/>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59"/>
  <sheetViews>
    <sheetView topLeftCell="A106" zoomScaleNormal="100" zoomScaleSheetLayoutView="100" workbookViewId="0">
      <selection activeCell="J160" sqref="J160"/>
    </sheetView>
  </sheetViews>
  <sheetFormatPr defaultColWidth="7.85546875" defaultRowHeight="12.75"/>
  <cols>
    <col min="1" max="1" width="7" style="5" customWidth="1"/>
    <col min="2" max="2" width="11.42578125" style="2" customWidth="1"/>
    <col min="3" max="5" width="9.7109375" style="2" customWidth="1"/>
    <col min="6" max="6" width="12.42578125" style="2" customWidth="1"/>
    <col min="7" max="7" width="8.85546875" style="8" customWidth="1"/>
    <col min="8" max="8" width="8.7109375" style="2" customWidth="1"/>
    <col min="9" max="10" width="8.7109375" style="3" customWidth="1"/>
    <col min="11" max="11" width="29.85546875" style="3" customWidth="1"/>
    <col min="12" max="14" width="7.42578125" style="92" customWidth="1"/>
    <col min="15" max="16384" width="7.85546875" style="3"/>
  </cols>
  <sheetData>
    <row r="1" spans="1:14" ht="15.75">
      <c r="A1" s="110" t="s">
        <v>463</v>
      </c>
      <c r="B1" s="111"/>
      <c r="C1" s="111"/>
      <c r="D1" s="111"/>
      <c r="E1" s="111"/>
      <c r="F1" s="111"/>
      <c r="G1" s="111"/>
      <c r="H1" s="111"/>
      <c r="I1" s="111"/>
      <c r="J1" s="111"/>
      <c r="K1" s="7" t="s">
        <v>464</v>
      </c>
      <c r="L1" s="118"/>
      <c r="M1" s="118"/>
      <c r="N1" s="118"/>
    </row>
    <row r="2" spans="1:14" ht="15.75">
      <c r="A2" s="112" t="s">
        <v>139</v>
      </c>
      <c r="B2" s="113"/>
      <c r="C2" s="113"/>
      <c r="D2" s="113"/>
      <c r="E2" s="113"/>
      <c r="F2" s="113"/>
      <c r="G2" s="113"/>
      <c r="H2" s="113"/>
      <c r="I2" s="113"/>
      <c r="J2" s="113"/>
      <c r="K2" s="7" t="s">
        <v>107</v>
      </c>
      <c r="L2" s="118"/>
      <c r="M2" s="118"/>
      <c r="N2" s="118"/>
    </row>
    <row r="3" spans="1:14" ht="36" customHeight="1">
      <c r="A3" s="1503" t="s">
        <v>117</v>
      </c>
      <c r="B3" s="1503"/>
      <c r="C3" s="1503"/>
      <c r="D3" s="1503"/>
      <c r="E3" s="1503"/>
      <c r="F3" s="1503"/>
      <c r="G3" s="1503"/>
      <c r="H3" s="1503"/>
      <c r="I3" s="1503"/>
      <c r="J3" s="1503"/>
      <c r="K3" s="1068" t="s">
        <v>833</v>
      </c>
      <c r="L3" s="118"/>
      <c r="M3" s="118"/>
      <c r="N3" s="118"/>
    </row>
    <row r="4" spans="1:14" ht="5.25" customHeight="1" thickBot="1">
      <c r="A4" s="9"/>
      <c r="B4" s="9"/>
      <c r="C4" s="9"/>
      <c r="D4" s="9"/>
      <c r="E4" s="9"/>
      <c r="F4" s="9"/>
      <c r="G4" s="9"/>
      <c r="H4" s="9"/>
      <c r="I4" s="9"/>
      <c r="J4" s="9"/>
      <c r="K4" s="7"/>
      <c r="L4" s="118"/>
      <c r="M4" s="118"/>
      <c r="N4" s="118"/>
    </row>
    <row r="5" spans="1:14" ht="13.5" customHeight="1">
      <c r="A5" s="1492" t="s">
        <v>110</v>
      </c>
      <c r="B5" s="1483" t="s">
        <v>111</v>
      </c>
      <c r="C5" s="1483" t="s">
        <v>112</v>
      </c>
      <c r="D5" s="1483" t="s">
        <v>47</v>
      </c>
      <c r="E5" s="1483" t="s">
        <v>113</v>
      </c>
      <c r="F5" s="1483" t="s">
        <v>14</v>
      </c>
      <c r="G5" s="1490" t="s">
        <v>114</v>
      </c>
      <c r="H5" s="1483" t="s">
        <v>814</v>
      </c>
      <c r="I5" s="1485" t="s">
        <v>815</v>
      </c>
      <c r="J5" s="1469" t="s">
        <v>816</v>
      </c>
      <c r="K5" s="1471" t="s">
        <v>115</v>
      </c>
      <c r="L5" s="1472"/>
      <c r="M5" s="1472"/>
      <c r="N5" s="1473"/>
    </row>
    <row r="6" spans="1:14" ht="13.5" customHeight="1">
      <c r="A6" s="1493"/>
      <c r="B6" s="1484"/>
      <c r="C6" s="1484"/>
      <c r="D6" s="1484"/>
      <c r="E6" s="1484"/>
      <c r="F6" s="1484"/>
      <c r="G6" s="1491"/>
      <c r="H6" s="1484"/>
      <c r="I6" s="1486"/>
      <c r="J6" s="1470"/>
      <c r="K6" s="1474" t="s">
        <v>47</v>
      </c>
      <c r="L6" s="1476" t="s">
        <v>116</v>
      </c>
      <c r="M6" s="1477"/>
      <c r="N6" s="1478"/>
    </row>
    <row r="7" spans="1:14" ht="145.5" customHeight="1" thickBot="1">
      <c r="A7" s="1494"/>
      <c r="B7" s="1495"/>
      <c r="C7" s="1484"/>
      <c r="D7" s="1484"/>
      <c r="E7" s="1484"/>
      <c r="F7" s="1484"/>
      <c r="G7" s="1491"/>
      <c r="H7" s="1484"/>
      <c r="I7" s="1486"/>
      <c r="J7" s="1470"/>
      <c r="K7" s="1475"/>
      <c r="L7" s="1072" t="s">
        <v>138</v>
      </c>
      <c r="M7" s="1072" t="s">
        <v>256</v>
      </c>
      <c r="N7" s="1073" t="s">
        <v>452</v>
      </c>
    </row>
    <row r="8" spans="1:14" s="7" customFormat="1">
      <c r="A8" s="1171" t="s">
        <v>453</v>
      </c>
      <c r="B8" s="1213" t="s">
        <v>454</v>
      </c>
      <c r="C8" s="1309" t="s">
        <v>571</v>
      </c>
      <c r="D8" s="1348"/>
      <c r="E8" s="1348"/>
      <c r="F8" s="1147" t="s">
        <v>171</v>
      </c>
      <c r="G8" s="832" t="s">
        <v>120</v>
      </c>
      <c r="H8" s="854">
        <v>24</v>
      </c>
      <c r="I8" s="603">
        <f>H8*1.006</f>
        <v>24.143999999999998</v>
      </c>
      <c r="J8" s="603">
        <f>I8*1.006</f>
        <v>24.288864</v>
      </c>
      <c r="K8" s="1507" t="s">
        <v>322</v>
      </c>
      <c r="L8" s="1509" t="s">
        <v>473</v>
      </c>
      <c r="M8" s="1509">
        <v>460</v>
      </c>
      <c r="N8" s="1511">
        <v>460</v>
      </c>
    </row>
    <row r="9" spans="1:14" s="436" customFormat="1" ht="13.5" thickBot="1">
      <c r="A9" s="1184"/>
      <c r="B9" s="1209"/>
      <c r="C9" s="1504"/>
      <c r="D9" s="1505"/>
      <c r="E9" s="1505"/>
      <c r="F9" s="1506"/>
      <c r="G9" s="498" t="s">
        <v>121</v>
      </c>
      <c r="H9" s="865">
        <v>40</v>
      </c>
      <c r="I9" s="590">
        <f>H9*1.006</f>
        <v>40.24</v>
      </c>
      <c r="J9" s="590">
        <f>I9*1.006</f>
        <v>40.481439999999999</v>
      </c>
      <c r="K9" s="1508"/>
      <c r="L9" s="1510"/>
      <c r="M9" s="1510"/>
      <c r="N9" s="1512"/>
    </row>
    <row r="10" spans="1:14" s="10" customFormat="1" ht="13.5" thickBot="1">
      <c r="A10" s="1487"/>
      <c r="B10" s="1487"/>
      <c r="C10" s="1223" t="s">
        <v>118</v>
      </c>
      <c r="D10" s="1479"/>
      <c r="E10" s="1479"/>
      <c r="F10" s="1479"/>
      <c r="G10" s="1479"/>
      <c r="H10" s="766">
        <f>SUM(H8:H9)</f>
        <v>64</v>
      </c>
      <c r="I10" s="767">
        <f t="shared" ref="I10:J10" si="0">SUM(I8:I9)</f>
        <v>64.384</v>
      </c>
      <c r="J10" s="767">
        <f t="shared" si="0"/>
        <v>64.770303999999996</v>
      </c>
      <c r="K10" s="381"/>
      <c r="L10" s="164"/>
      <c r="M10" s="164"/>
      <c r="N10" s="165"/>
    </row>
    <row r="11" spans="1:14" s="7" customFormat="1" ht="23.25" thickBot="1">
      <c r="A11" s="1487"/>
      <c r="B11" s="1487"/>
      <c r="C11" s="1395" t="s">
        <v>570</v>
      </c>
      <c r="D11" s="1419"/>
      <c r="E11" s="1420"/>
      <c r="F11" s="870" t="s">
        <v>171</v>
      </c>
      <c r="G11" s="862" t="s">
        <v>120</v>
      </c>
      <c r="H11" s="852">
        <f>239.8+3650.6+12+33+94.5</f>
        <v>4029.9</v>
      </c>
      <c r="I11" s="590">
        <f>H11*1.006</f>
        <v>4054.0794000000001</v>
      </c>
      <c r="J11" s="590">
        <f>I11*1.006</f>
        <v>4078.4038764000002</v>
      </c>
      <c r="K11" s="471" t="s">
        <v>538</v>
      </c>
      <c r="L11" s="726">
        <v>2600</v>
      </c>
      <c r="M11" s="726">
        <v>2600</v>
      </c>
      <c r="N11" s="727">
        <v>2600</v>
      </c>
    </row>
    <row r="12" spans="1:14" s="7" customFormat="1" ht="13.5" thickBot="1">
      <c r="A12" s="1487"/>
      <c r="B12" s="1487"/>
      <c r="C12" s="1185" t="s">
        <v>118</v>
      </c>
      <c r="D12" s="1421"/>
      <c r="E12" s="1421"/>
      <c r="F12" s="1421"/>
      <c r="G12" s="1422"/>
      <c r="H12" s="766">
        <f>SUM(H11)</f>
        <v>4029.9</v>
      </c>
      <c r="I12" s="767">
        <f>SUM(I11)</f>
        <v>4054.0794000000001</v>
      </c>
      <c r="J12" s="767">
        <f>SUM(J11)</f>
        <v>4078.4038764000002</v>
      </c>
      <c r="K12" s="381"/>
      <c r="L12" s="156"/>
      <c r="M12" s="156"/>
      <c r="N12" s="169"/>
    </row>
    <row r="13" spans="1:14" s="7" customFormat="1" ht="24.75" customHeight="1" thickBot="1">
      <c r="A13" s="1487"/>
      <c r="B13" s="1487"/>
      <c r="C13" s="1340" t="s">
        <v>569</v>
      </c>
      <c r="D13" s="1166"/>
      <c r="E13" s="1167"/>
      <c r="F13" s="907" t="s">
        <v>171</v>
      </c>
      <c r="G13" s="862" t="s">
        <v>120</v>
      </c>
      <c r="H13" s="857">
        <v>1.3</v>
      </c>
      <c r="I13" s="590">
        <f>H13*1.006</f>
        <v>1.3078000000000001</v>
      </c>
      <c r="J13" s="590">
        <f>I13*1.006</f>
        <v>1.3156468000000001</v>
      </c>
      <c r="K13" s="812" t="s">
        <v>382</v>
      </c>
      <c r="L13" s="625">
        <v>3</v>
      </c>
      <c r="M13" s="625">
        <v>3</v>
      </c>
      <c r="N13" s="626">
        <v>3</v>
      </c>
    </row>
    <row r="14" spans="1:14" s="7" customFormat="1" ht="13.5" thickBot="1">
      <c r="A14" s="1487"/>
      <c r="B14" s="1487"/>
      <c r="C14" s="1185" t="s">
        <v>118</v>
      </c>
      <c r="D14" s="1421"/>
      <c r="E14" s="1421"/>
      <c r="F14" s="1421"/>
      <c r="G14" s="1422"/>
      <c r="H14" s="766">
        <f>SUM(H13)</f>
        <v>1.3</v>
      </c>
      <c r="I14" s="767">
        <f>SUM(I13)</f>
        <v>1.3078000000000001</v>
      </c>
      <c r="J14" s="767">
        <f>SUM(J13)</f>
        <v>1.3156468000000001</v>
      </c>
      <c r="K14" s="437"/>
      <c r="L14" s="149"/>
      <c r="M14" s="149"/>
      <c r="N14" s="171"/>
    </row>
    <row r="15" spans="1:14" s="7" customFormat="1" ht="23.25" thickBot="1">
      <c r="A15" s="1487"/>
      <c r="B15" s="1487"/>
      <c r="C15" s="1087" t="s">
        <v>381</v>
      </c>
      <c r="D15" s="1087"/>
      <c r="E15" s="701"/>
      <c r="F15" s="870" t="s">
        <v>171</v>
      </c>
      <c r="G15" s="862" t="s">
        <v>120</v>
      </c>
      <c r="H15" s="852">
        <f>417+251</f>
        <v>668</v>
      </c>
      <c r="I15" s="590">
        <f>H15*1.006</f>
        <v>672.00800000000004</v>
      </c>
      <c r="J15" s="590">
        <f>I15*1.006</f>
        <v>676.04004800000007</v>
      </c>
      <c r="K15" s="403" t="s">
        <v>539</v>
      </c>
      <c r="L15" s="880">
        <v>301</v>
      </c>
      <c r="M15" s="880">
        <v>310</v>
      </c>
      <c r="N15" s="908">
        <v>320</v>
      </c>
    </row>
    <row r="16" spans="1:14" s="7" customFormat="1" ht="14.25" customHeight="1" thickBot="1">
      <c r="A16" s="1487"/>
      <c r="B16" s="1487"/>
      <c r="C16" s="1153" t="s">
        <v>118</v>
      </c>
      <c r="D16" s="1421"/>
      <c r="E16" s="1421"/>
      <c r="F16" s="1421"/>
      <c r="G16" s="1422"/>
      <c r="H16" s="766">
        <f>SUM(H15)</f>
        <v>668</v>
      </c>
      <c r="I16" s="767">
        <f>SUM(I15)</f>
        <v>672.00800000000004</v>
      </c>
      <c r="J16" s="767">
        <f>SUM(J15)</f>
        <v>676.04004800000007</v>
      </c>
      <c r="K16" s="173"/>
      <c r="L16" s="149"/>
      <c r="M16" s="149"/>
      <c r="N16" s="171"/>
    </row>
    <row r="17" spans="1:14" s="7" customFormat="1" ht="25.5" customHeight="1" thickBot="1">
      <c r="A17" s="1487"/>
      <c r="B17" s="1487"/>
      <c r="C17" s="1165" t="s">
        <v>568</v>
      </c>
      <c r="D17" s="1166"/>
      <c r="E17" s="1167"/>
      <c r="F17" s="870" t="s">
        <v>171</v>
      </c>
      <c r="G17" s="862" t="s">
        <v>120</v>
      </c>
      <c r="H17" s="852">
        <v>82</v>
      </c>
      <c r="I17" s="590">
        <f>H17*1.006</f>
        <v>82.492000000000004</v>
      </c>
      <c r="J17" s="590">
        <f>I17*1.006</f>
        <v>82.986952000000002</v>
      </c>
      <c r="K17" s="813" t="s">
        <v>389</v>
      </c>
      <c r="L17" s="625">
        <v>45</v>
      </c>
      <c r="M17" s="625">
        <v>50</v>
      </c>
      <c r="N17" s="626">
        <v>55</v>
      </c>
    </row>
    <row r="18" spans="1:14" s="7" customFormat="1" ht="13.5" thickBot="1">
      <c r="A18" s="1487"/>
      <c r="B18" s="1487"/>
      <c r="C18" s="1480"/>
      <c r="D18" s="1481"/>
      <c r="E18" s="1482"/>
      <c r="F18" s="1085"/>
      <c r="G18" s="847" t="s">
        <v>118</v>
      </c>
      <c r="H18" s="766">
        <f>SUM(H17)</f>
        <v>82</v>
      </c>
      <c r="I18" s="767">
        <f>SUM(I17)</f>
        <v>82.492000000000004</v>
      </c>
      <c r="J18" s="767">
        <f>SUM(J17)</f>
        <v>82.986952000000002</v>
      </c>
      <c r="K18" s="437"/>
      <c r="L18" s="149"/>
      <c r="M18" s="149"/>
      <c r="N18" s="171"/>
    </row>
    <row r="19" spans="1:14" s="7" customFormat="1" ht="24.75" customHeight="1" thickBot="1">
      <c r="A19" s="1487"/>
      <c r="B19" s="1487"/>
      <c r="C19" s="1165" t="s">
        <v>567</v>
      </c>
      <c r="D19" s="1166"/>
      <c r="E19" s="1167"/>
      <c r="F19" s="870" t="s">
        <v>171</v>
      </c>
      <c r="G19" s="862" t="s">
        <v>120</v>
      </c>
      <c r="H19" s="852">
        <v>12</v>
      </c>
      <c r="I19" s="590">
        <f>H19*1.006</f>
        <v>12.071999999999999</v>
      </c>
      <c r="J19" s="590">
        <f>I19*1.006</f>
        <v>12.144432</v>
      </c>
      <c r="K19" s="813" t="s">
        <v>390</v>
      </c>
      <c r="L19" s="1056">
        <v>100</v>
      </c>
      <c r="M19" s="1056">
        <v>100</v>
      </c>
      <c r="N19" s="1057">
        <v>100</v>
      </c>
    </row>
    <row r="20" spans="1:14" s="7" customFormat="1" ht="13.5" thickBot="1">
      <c r="A20" s="1487"/>
      <c r="B20" s="1487"/>
      <c r="C20" s="1153" t="s">
        <v>118</v>
      </c>
      <c r="D20" s="1421"/>
      <c r="E20" s="1421"/>
      <c r="F20" s="1421"/>
      <c r="G20" s="1422"/>
      <c r="H20" s="766">
        <f>SUM(H19)</f>
        <v>12</v>
      </c>
      <c r="I20" s="767">
        <f>SUM(I19)</f>
        <v>12.071999999999999</v>
      </c>
      <c r="J20" s="767">
        <f>SUM(J19)</f>
        <v>12.144432</v>
      </c>
      <c r="K20" s="437"/>
      <c r="L20" s="149"/>
      <c r="M20" s="149"/>
      <c r="N20" s="171"/>
    </row>
    <row r="21" spans="1:14" s="7" customFormat="1" ht="30.75" customHeight="1" thickBot="1">
      <c r="A21" s="1487"/>
      <c r="B21" s="1487"/>
      <c r="C21" s="1156" t="s">
        <v>566</v>
      </c>
      <c r="D21" s="1157"/>
      <c r="E21" s="1158"/>
      <c r="F21" s="914" t="s">
        <v>171</v>
      </c>
      <c r="G21" s="836" t="s">
        <v>120</v>
      </c>
      <c r="H21" s="859">
        <f>4957.6+99.2</f>
        <v>5056.8</v>
      </c>
      <c r="I21" s="607">
        <f>H21*1.006</f>
        <v>5087.1408000000001</v>
      </c>
      <c r="J21" s="607">
        <f>I21*1.006</f>
        <v>5117.6636447999999</v>
      </c>
      <c r="K21" s="507" t="s">
        <v>541</v>
      </c>
      <c r="L21" s="1056">
        <v>2033</v>
      </c>
      <c r="M21" s="1056">
        <v>2040</v>
      </c>
      <c r="N21" s="1057">
        <v>2045</v>
      </c>
    </row>
    <row r="22" spans="1:14" s="7" customFormat="1" ht="13.5" thickBot="1">
      <c r="A22" s="1487"/>
      <c r="B22" s="1487"/>
      <c r="C22" s="1153" t="s">
        <v>118</v>
      </c>
      <c r="D22" s="1421"/>
      <c r="E22" s="1421"/>
      <c r="F22" s="1421"/>
      <c r="G22" s="1422"/>
      <c r="H22" s="766">
        <f>SUM(H21:H21)</f>
        <v>5056.8</v>
      </c>
      <c r="I22" s="767">
        <f>SUM(I21:I21)</f>
        <v>5087.1408000000001</v>
      </c>
      <c r="J22" s="767">
        <f>SUM(J21:J21)</f>
        <v>5117.6636447999999</v>
      </c>
      <c r="K22" s="437"/>
      <c r="L22" s="149"/>
      <c r="M22" s="149"/>
      <c r="N22" s="171"/>
    </row>
    <row r="23" spans="1:14" s="7" customFormat="1" ht="23.25" customHeight="1" thickBot="1">
      <c r="A23" s="1487"/>
      <c r="B23" s="1487"/>
      <c r="C23" s="1087" t="s">
        <v>548</v>
      </c>
      <c r="D23" s="709"/>
      <c r="E23" s="701"/>
      <c r="F23" s="870" t="s">
        <v>171</v>
      </c>
      <c r="G23" s="862" t="s">
        <v>120</v>
      </c>
      <c r="H23" s="852">
        <v>0.4</v>
      </c>
      <c r="I23" s="590">
        <f>1.006*H23</f>
        <v>0.40240000000000004</v>
      </c>
      <c r="J23" s="590">
        <f>1.006*I23</f>
        <v>0.40481440000000002</v>
      </c>
      <c r="K23" s="813" t="s">
        <v>391</v>
      </c>
      <c r="L23" s="880">
        <v>3</v>
      </c>
      <c r="M23" s="880">
        <v>3</v>
      </c>
      <c r="N23" s="908">
        <v>3</v>
      </c>
    </row>
    <row r="24" spans="1:14" s="7" customFormat="1" ht="13.5" thickBot="1">
      <c r="A24" s="1487"/>
      <c r="B24" s="1487"/>
      <c r="C24" s="1153" t="s">
        <v>118</v>
      </c>
      <c r="D24" s="1378"/>
      <c r="E24" s="1378"/>
      <c r="F24" s="1378"/>
      <c r="G24" s="1379"/>
      <c r="H24" s="755">
        <f>SUM(H23)</f>
        <v>0.4</v>
      </c>
      <c r="I24" s="756">
        <f>SUM(I23)</f>
        <v>0.40240000000000004</v>
      </c>
      <c r="J24" s="756">
        <f>SUM(J23)</f>
        <v>0.40481440000000002</v>
      </c>
      <c r="K24" s="439"/>
      <c r="L24" s="581"/>
      <c r="M24" s="581"/>
      <c r="N24" s="582"/>
    </row>
    <row r="25" spans="1:14" s="319" customFormat="1" ht="13.5" thickBot="1">
      <c r="A25" s="1487"/>
      <c r="B25" s="1153" t="s">
        <v>119</v>
      </c>
      <c r="C25" s="1185"/>
      <c r="D25" s="1185"/>
      <c r="E25" s="1185"/>
      <c r="F25" s="1185"/>
      <c r="G25" s="1185"/>
      <c r="H25" s="766">
        <f>H10+H12+H14+H16+H18+H20+H22+H24</f>
        <v>9914.4</v>
      </c>
      <c r="I25" s="767">
        <f>I10+I12+I14+I16+I18+I20+I22+I24</f>
        <v>9973.8864000000012</v>
      </c>
      <c r="J25" s="767">
        <f>J10+J12+J14+J16+J18+J20+J22+J24</f>
        <v>10033.729718400002</v>
      </c>
      <c r="K25" s="437"/>
      <c r="L25" s="149"/>
      <c r="M25" s="149"/>
      <c r="N25" s="171"/>
    </row>
    <row r="26" spans="1:14" s="7" customFormat="1" ht="36.75" customHeight="1" thickBot="1">
      <c r="A26" s="1487"/>
      <c r="B26" s="1171" t="s">
        <v>582</v>
      </c>
      <c r="C26" s="1340" t="s">
        <v>543</v>
      </c>
      <c r="D26" s="1166"/>
      <c r="E26" s="1167"/>
      <c r="F26" s="907" t="s">
        <v>171</v>
      </c>
      <c r="G26" s="862" t="s">
        <v>121</v>
      </c>
      <c r="H26" s="857">
        <v>40</v>
      </c>
      <c r="I26" s="590">
        <f>H26*1.006</f>
        <v>40.24</v>
      </c>
      <c r="J26" s="590">
        <f>I26*1.006</f>
        <v>40.481439999999999</v>
      </c>
      <c r="K26" s="812" t="s">
        <v>544</v>
      </c>
      <c r="L26" s="880">
        <v>190</v>
      </c>
      <c r="M26" s="880">
        <v>200</v>
      </c>
      <c r="N26" s="908">
        <v>210</v>
      </c>
    </row>
    <row r="27" spans="1:14" s="7" customFormat="1" ht="13.5" thickBot="1">
      <c r="A27" s="1487"/>
      <c r="B27" s="1487"/>
      <c r="C27" s="1185" t="s">
        <v>118</v>
      </c>
      <c r="D27" s="1421"/>
      <c r="E27" s="1421"/>
      <c r="F27" s="1421"/>
      <c r="G27" s="1422"/>
      <c r="H27" s="766">
        <f>SUM(H26)</f>
        <v>40</v>
      </c>
      <c r="I27" s="767">
        <f>SUM(I26)</f>
        <v>40.24</v>
      </c>
      <c r="J27" s="767">
        <f>SUM(J26)</f>
        <v>40.481439999999999</v>
      </c>
      <c r="K27" s="437"/>
      <c r="L27" s="149"/>
      <c r="M27" s="149"/>
      <c r="N27" s="171"/>
    </row>
    <row r="28" spans="1:14" s="7" customFormat="1" ht="25.5" customHeight="1" thickBot="1">
      <c r="A28" s="1487"/>
      <c r="B28" s="1487"/>
      <c r="C28" s="1340" t="s">
        <v>545</v>
      </c>
      <c r="D28" s="1166"/>
      <c r="E28" s="1167"/>
      <c r="F28" s="907" t="s">
        <v>171</v>
      </c>
      <c r="G28" s="862" t="s">
        <v>121</v>
      </c>
      <c r="H28" s="857">
        <v>3</v>
      </c>
      <c r="I28" s="611">
        <f>H28*1.006</f>
        <v>3.0179999999999998</v>
      </c>
      <c r="J28" s="611">
        <f>I28*1.006</f>
        <v>3.036108</v>
      </c>
      <c r="K28" s="812" t="s">
        <v>546</v>
      </c>
      <c r="L28" s="880">
        <v>5</v>
      </c>
      <c r="M28" s="880">
        <v>5</v>
      </c>
      <c r="N28" s="908">
        <v>5</v>
      </c>
    </row>
    <row r="29" spans="1:14" s="7" customFormat="1" ht="13.5" thickBot="1">
      <c r="A29" s="1487"/>
      <c r="B29" s="1487"/>
      <c r="C29" s="1185" t="s">
        <v>118</v>
      </c>
      <c r="D29" s="1421"/>
      <c r="E29" s="1421"/>
      <c r="F29" s="1421"/>
      <c r="G29" s="1422"/>
      <c r="H29" s="766">
        <f>SUM(H28)</f>
        <v>3</v>
      </c>
      <c r="I29" s="767">
        <f>SUM(I28)</f>
        <v>3.0179999999999998</v>
      </c>
      <c r="J29" s="767">
        <f>SUM(J28)</f>
        <v>3.036108</v>
      </c>
      <c r="K29" s="437"/>
      <c r="L29" s="149"/>
      <c r="M29" s="149"/>
      <c r="N29" s="171"/>
    </row>
    <row r="30" spans="1:14" s="7" customFormat="1" ht="26.25" customHeight="1" thickBot="1">
      <c r="A30" s="1487"/>
      <c r="B30" s="1487"/>
      <c r="C30" s="1340" t="s">
        <v>416</v>
      </c>
      <c r="D30" s="1166"/>
      <c r="E30" s="1167"/>
      <c r="F30" s="907" t="s">
        <v>171</v>
      </c>
      <c r="G30" s="862" t="s">
        <v>121</v>
      </c>
      <c r="H30" s="927">
        <v>15</v>
      </c>
      <c r="I30" s="590">
        <f>H30*1.006</f>
        <v>15.09</v>
      </c>
      <c r="J30" s="590">
        <f>I30*1.006</f>
        <v>15.180540000000001</v>
      </c>
      <c r="K30" s="812" t="s">
        <v>417</v>
      </c>
      <c r="L30" s="880">
        <v>1</v>
      </c>
      <c r="M30" s="880">
        <v>1</v>
      </c>
      <c r="N30" s="908">
        <v>1</v>
      </c>
    </row>
    <row r="31" spans="1:14" s="7" customFormat="1" ht="13.5" thickBot="1">
      <c r="A31" s="1487"/>
      <c r="B31" s="1487"/>
      <c r="C31" s="1500"/>
      <c r="D31" s="1501"/>
      <c r="E31" s="1502"/>
      <c r="F31" s="162"/>
      <c r="G31" s="847" t="s">
        <v>118</v>
      </c>
      <c r="H31" s="766">
        <f>SUM(H30)</f>
        <v>15</v>
      </c>
      <c r="I31" s="767">
        <f>SUM(I30)</f>
        <v>15.09</v>
      </c>
      <c r="J31" s="767">
        <f>SUM(J30)</f>
        <v>15.180540000000001</v>
      </c>
      <c r="K31" s="437"/>
      <c r="L31" s="149"/>
      <c r="M31" s="149"/>
      <c r="N31" s="171"/>
    </row>
    <row r="32" spans="1:14" s="7" customFormat="1" ht="23.25" customHeight="1">
      <c r="A32" s="1487"/>
      <c r="B32" s="1487"/>
      <c r="C32" s="1496" t="s">
        <v>394</v>
      </c>
      <c r="D32" s="1496"/>
      <c r="E32" s="1497"/>
      <c r="F32" s="325" t="s">
        <v>198</v>
      </c>
      <c r="G32" s="384" t="s">
        <v>135</v>
      </c>
      <c r="H32" s="450">
        <v>11.6</v>
      </c>
      <c r="I32" s="450">
        <f t="shared" ref="I32:J55" si="1">H32*1.006</f>
        <v>11.669599999999999</v>
      </c>
      <c r="J32" s="450">
        <f t="shared" si="1"/>
        <v>11.739617599999999</v>
      </c>
      <c r="K32" s="150" t="s">
        <v>392</v>
      </c>
      <c r="L32" s="314">
        <v>42</v>
      </c>
      <c r="M32" s="314">
        <v>42</v>
      </c>
      <c r="N32" s="166">
        <v>42</v>
      </c>
    </row>
    <row r="33" spans="1:14" s="7" customFormat="1" ht="23.25" customHeight="1">
      <c r="A33" s="1487"/>
      <c r="B33" s="1487"/>
      <c r="C33" s="1498"/>
      <c r="D33" s="1498"/>
      <c r="E33" s="1499"/>
      <c r="F33" s="325" t="s">
        <v>199</v>
      </c>
      <c r="G33" s="384" t="s">
        <v>135</v>
      </c>
      <c r="H33" s="1088">
        <v>12.1</v>
      </c>
      <c r="I33" s="450">
        <f t="shared" si="1"/>
        <v>12.172599999999999</v>
      </c>
      <c r="J33" s="450">
        <f t="shared" si="1"/>
        <v>12.2456356</v>
      </c>
      <c r="K33" s="150" t="s">
        <v>392</v>
      </c>
      <c r="L33" s="314">
        <v>84</v>
      </c>
      <c r="M33" s="314">
        <v>84</v>
      </c>
      <c r="N33" s="166">
        <v>84</v>
      </c>
    </row>
    <row r="34" spans="1:14" s="7" customFormat="1" ht="23.25" customHeight="1">
      <c r="A34" s="1487"/>
      <c r="B34" s="1487"/>
      <c r="C34" s="1498"/>
      <c r="D34" s="1498"/>
      <c r="E34" s="1499"/>
      <c r="F34" s="326" t="s">
        <v>201</v>
      </c>
      <c r="G34" s="384" t="s">
        <v>135</v>
      </c>
      <c r="H34" s="1088">
        <v>24.3</v>
      </c>
      <c r="I34" s="450">
        <f t="shared" si="1"/>
        <v>24.445800000000002</v>
      </c>
      <c r="J34" s="450">
        <f t="shared" si="1"/>
        <v>24.592474800000002</v>
      </c>
      <c r="K34" s="150" t="s">
        <v>392</v>
      </c>
      <c r="L34" s="314">
        <v>118</v>
      </c>
      <c r="M34" s="314">
        <v>118</v>
      </c>
      <c r="N34" s="166">
        <v>118</v>
      </c>
    </row>
    <row r="35" spans="1:14" s="7" customFormat="1" ht="23.25" customHeight="1">
      <c r="A35" s="1487"/>
      <c r="B35" s="1487"/>
      <c r="C35" s="1498"/>
      <c r="D35" s="1498"/>
      <c r="E35" s="1499"/>
      <c r="F35" s="326" t="s">
        <v>200</v>
      </c>
      <c r="G35" s="384" t="s">
        <v>135</v>
      </c>
      <c r="H35" s="335">
        <v>17</v>
      </c>
      <c r="I35" s="450">
        <f t="shared" si="1"/>
        <v>17.102</v>
      </c>
      <c r="J35" s="450">
        <f t="shared" si="1"/>
        <v>17.204612000000001</v>
      </c>
      <c r="K35" s="150" t="s">
        <v>392</v>
      </c>
      <c r="L35" s="314">
        <v>101</v>
      </c>
      <c r="M35" s="314">
        <v>101</v>
      </c>
      <c r="N35" s="166">
        <v>101</v>
      </c>
    </row>
    <row r="36" spans="1:14" s="7" customFormat="1" ht="23.25" customHeight="1">
      <c r="A36" s="1487"/>
      <c r="B36" s="1487"/>
      <c r="C36" s="1498"/>
      <c r="D36" s="1498"/>
      <c r="E36" s="1499"/>
      <c r="F36" s="326" t="s">
        <v>243</v>
      </c>
      <c r="G36" s="384" t="s">
        <v>135</v>
      </c>
      <c r="H36" s="335">
        <v>21</v>
      </c>
      <c r="I36" s="450">
        <f t="shared" si="1"/>
        <v>21.126000000000001</v>
      </c>
      <c r="J36" s="450">
        <f t="shared" si="1"/>
        <v>21.252756000000002</v>
      </c>
      <c r="K36" s="150" t="s">
        <v>392</v>
      </c>
      <c r="L36" s="314">
        <v>72</v>
      </c>
      <c r="M36" s="314">
        <v>72</v>
      </c>
      <c r="N36" s="166">
        <v>72</v>
      </c>
    </row>
    <row r="37" spans="1:14" s="7" customFormat="1" ht="23.25" customHeight="1">
      <c r="A37" s="1487"/>
      <c r="B37" s="1487"/>
      <c r="C37" s="1498"/>
      <c r="D37" s="1498"/>
      <c r="E37" s="1499"/>
      <c r="F37" s="326" t="s">
        <v>244</v>
      </c>
      <c r="G37" s="384" t="s">
        <v>135</v>
      </c>
      <c r="H37" s="1089">
        <v>16.8</v>
      </c>
      <c r="I37" s="450">
        <f t="shared" si="1"/>
        <v>16.9008</v>
      </c>
      <c r="J37" s="450">
        <f t="shared" si="1"/>
        <v>17.002204800000001</v>
      </c>
      <c r="K37" s="150" t="s">
        <v>392</v>
      </c>
      <c r="L37" s="314">
        <v>100</v>
      </c>
      <c r="M37" s="314">
        <v>100</v>
      </c>
      <c r="N37" s="166">
        <v>100</v>
      </c>
    </row>
    <row r="38" spans="1:14" s="7" customFormat="1" ht="23.25" customHeight="1">
      <c r="A38" s="1487"/>
      <c r="B38" s="1487"/>
      <c r="C38" s="1498"/>
      <c r="D38" s="1498"/>
      <c r="E38" s="1499"/>
      <c r="F38" s="326" t="s">
        <v>245</v>
      </c>
      <c r="G38" s="384" t="s">
        <v>135</v>
      </c>
      <c r="H38" s="1089">
        <v>13.2</v>
      </c>
      <c r="I38" s="450">
        <f t="shared" si="1"/>
        <v>13.279199999999999</v>
      </c>
      <c r="J38" s="450">
        <f t="shared" si="1"/>
        <v>13.3588752</v>
      </c>
      <c r="K38" s="150" t="s">
        <v>392</v>
      </c>
      <c r="L38" s="314">
        <v>75</v>
      </c>
      <c r="M38" s="314">
        <v>75</v>
      </c>
      <c r="N38" s="166">
        <v>75</v>
      </c>
    </row>
    <row r="39" spans="1:14" s="7" customFormat="1" ht="35.25" customHeight="1">
      <c r="A39" s="1487"/>
      <c r="B39" s="1487"/>
      <c r="C39" s="1498"/>
      <c r="D39" s="1498"/>
      <c r="E39" s="1499"/>
      <c r="F39" s="325" t="s">
        <v>246</v>
      </c>
      <c r="G39" s="384" t="s">
        <v>135</v>
      </c>
      <c r="H39" s="1089">
        <v>12.4</v>
      </c>
      <c r="I39" s="450">
        <f t="shared" si="1"/>
        <v>12.474400000000001</v>
      </c>
      <c r="J39" s="450">
        <f t="shared" si="1"/>
        <v>12.549246400000001</v>
      </c>
      <c r="K39" s="150" t="s">
        <v>392</v>
      </c>
      <c r="L39" s="314">
        <v>57</v>
      </c>
      <c r="M39" s="314">
        <v>57</v>
      </c>
      <c r="N39" s="166">
        <v>57</v>
      </c>
    </row>
    <row r="40" spans="1:14" s="7" customFormat="1" ht="23.25" customHeight="1">
      <c r="A40" s="1487"/>
      <c r="B40" s="1487"/>
      <c r="C40" s="1498"/>
      <c r="D40" s="1498"/>
      <c r="E40" s="1499"/>
      <c r="F40" s="326" t="s">
        <v>247</v>
      </c>
      <c r="G40" s="384" t="s">
        <v>135</v>
      </c>
      <c r="H40" s="1089">
        <v>10.6</v>
      </c>
      <c r="I40" s="450">
        <f t="shared" si="1"/>
        <v>10.663599999999999</v>
      </c>
      <c r="J40" s="450">
        <f t="shared" si="1"/>
        <v>10.727581599999999</v>
      </c>
      <c r="K40" s="150" t="s">
        <v>392</v>
      </c>
      <c r="L40" s="314">
        <v>53</v>
      </c>
      <c r="M40" s="314">
        <v>53</v>
      </c>
      <c r="N40" s="166">
        <v>53</v>
      </c>
    </row>
    <row r="41" spans="1:14" s="7" customFormat="1" ht="23.25" customHeight="1">
      <c r="A41" s="1487"/>
      <c r="B41" s="1487"/>
      <c r="C41" s="1498"/>
      <c r="D41" s="1498"/>
      <c r="E41" s="1499"/>
      <c r="F41" s="326" t="s">
        <v>248</v>
      </c>
      <c r="G41" s="384" t="s">
        <v>135</v>
      </c>
      <c r="H41" s="1089">
        <v>11.3</v>
      </c>
      <c r="I41" s="450">
        <f t="shared" si="1"/>
        <v>11.367800000000001</v>
      </c>
      <c r="J41" s="450">
        <f t="shared" si="1"/>
        <v>11.436006800000001</v>
      </c>
      <c r="K41" s="150" t="s">
        <v>392</v>
      </c>
      <c r="L41" s="314">
        <v>56</v>
      </c>
      <c r="M41" s="314">
        <v>56</v>
      </c>
      <c r="N41" s="166">
        <v>56</v>
      </c>
    </row>
    <row r="42" spans="1:14" s="7" customFormat="1" ht="23.25" customHeight="1">
      <c r="A42" s="1487"/>
      <c r="B42" s="1487"/>
      <c r="C42" s="1498"/>
      <c r="D42" s="1498"/>
      <c r="E42" s="1499"/>
      <c r="F42" s="327" t="s">
        <v>249</v>
      </c>
      <c r="G42" s="384" t="s">
        <v>135</v>
      </c>
      <c r="H42" s="1089">
        <v>50.7</v>
      </c>
      <c r="I42" s="450">
        <f t="shared" si="1"/>
        <v>51.004200000000004</v>
      </c>
      <c r="J42" s="450">
        <f t="shared" si="1"/>
        <v>51.310225200000005</v>
      </c>
      <c r="K42" s="150" t="s">
        <v>392</v>
      </c>
      <c r="L42" s="314">
        <v>284</v>
      </c>
      <c r="M42" s="314">
        <v>284</v>
      </c>
      <c r="N42" s="166">
        <v>284</v>
      </c>
    </row>
    <row r="43" spans="1:14" s="7" customFormat="1" ht="37.5" customHeight="1">
      <c r="A43" s="1487"/>
      <c r="B43" s="1487"/>
      <c r="C43" s="1498"/>
      <c r="D43" s="1498"/>
      <c r="E43" s="1499"/>
      <c r="F43" s="326" t="s">
        <v>250</v>
      </c>
      <c r="G43" s="384" t="s">
        <v>135</v>
      </c>
      <c r="H43" s="1089">
        <v>10.6</v>
      </c>
      <c r="I43" s="450">
        <f t="shared" si="1"/>
        <v>10.663599999999999</v>
      </c>
      <c r="J43" s="450">
        <f t="shared" si="1"/>
        <v>10.727581599999999</v>
      </c>
      <c r="K43" s="150" t="s">
        <v>392</v>
      </c>
      <c r="L43" s="314">
        <v>55</v>
      </c>
      <c r="M43" s="314">
        <v>55</v>
      </c>
      <c r="N43" s="166">
        <v>55</v>
      </c>
    </row>
    <row r="44" spans="1:14" s="7" customFormat="1" ht="23.25" customHeight="1">
      <c r="A44" s="1487"/>
      <c r="B44" s="1487"/>
      <c r="C44" s="1498"/>
      <c r="D44" s="1498"/>
      <c r="E44" s="1499"/>
      <c r="F44" s="326" t="s">
        <v>277</v>
      </c>
      <c r="G44" s="384" t="s">
        <v>135</v>
      </c>
      <c r="H44" s="1089">
        <v>5.0999999999999996</v>
      </c>
      <c r="I44" s="450">
        <f t="shared" si="1"/>
        <v>5.1305999999999994</v>
      </c>
      <c r="J44" s="450">
        <f t="shared" si="1"/>
        <v>5.1613835999999997</v>
      </c>
      <c r="K44" s="150" t="s">
        <v>392</v>
      </c>
      <c r="L44" s="314">
        <v>33</v>
      </c>
      <c r="M44" s="314">
        <v>33</v>
      </c>
      <c r="N44" s="166">
        <v>33</v>
      </c>
    </row>
    <row r="45" spans="1:14" s="7" customFormat="1" ht="23.25" customHeight="1">
      <c r="A45" s="1487"/>
      <c r="B45" s="1487"/>
      <c r="C45" s="1498"/>
      <c r="D45" s="1498"/>
      <c r="E45" s="1499"/>
      <c r="F45" s="326" t="s">
        <v>251</v>
      </c>
      <c r="G45" s="384" t="s">
        <v>135</v>
      </c>
      <c r="H45" s="1089">
        <v>10.3</v>
      </c>
      <c r="I45" s="450">
        <f t="shared" si="1"/>
        <v>10.361800000000001</v>
      </c>
      <c r="J45" s="450">
        <f t="shared" si="1"/>
        <v>10.423970800000001</v>
      </c>
      <c r="K45" s="150" t="s">
        <v>392</v>
      </c>
      <c r="L45" s="314">
        <v>47</v>
      </c>
      <c r="M45" s="314">
        <v>47</v>
      </c>
      <c r="N45" s="166">
        <v>47</v>
      </c>
    </row>
    <row r="46" spans="1:14" s="7" customFormat="1" ht="23.25" customHeight="1">
      <c r="A46" s="1487"/>
      <c r="B46" s="1487"/>
      <c r="C46" s="1498"/>
      <c r="D46" s="1498"/>
      <c r="E46" s="1499"/>
      <c r="F46" s="326" t="s">
        <v>252</v>
      </c>
      <c r="G46" s="384" t="s">
        <v>135</v>
      </c>
      <c r="H46" s="1089">
        <v>6.4</v>
      </c>
      <c r="I46" s="450">
        <f t="shared" si="1"/>
        <v>6.4384000000000006</v>
      </c>
      <c r="J46" s="450">
        <f t="shared" si="1"/>
        <v>6.4770304000000003</v>
      </c>
      <c r="K46" s="150" t="s">
        <v>392</v>
      </c>
      <c r="L46" s="314">
        <v>51</v>
      </c>
      <c r="M46" s="314">
        <v>51</v>
      </c>
      <c r="N46" s="166">
        <v>51</v>
      </c>
    </row>
    <row r="47" spans="1:14" s="7" customFormat="1" ht="23.25" customHeight="1">
      <c r="A47" s="1487"/>
      <c r="B47" s="1487"/>
      <c r="C47" s="1498"/>
      <c r="D47" s="1498"/>
      <c r="E47" s="1499"/>
      <c r="F47" s="326" t="s">
        <v>253</v>
      </c>
      <c r="G47" s="384" t="s">
        <v>135</v>
      </c>
      <c r="H47" s="1089">
        <v>7.3</v>
      </c>
      <c r="I47" s="450">
        <f t="shared" si="1"/>
        <v>7.3437999999999999</v>
      </c>
      <c r="J47" s="450">
        <f t="shared" si="1"/>
        <v>7.3878627999999997</v>
      </c>
      <c r="K47" s="150" t="s">
        <v>392</v>
      </c>
      <c r="L47" s="314">
        <v>38</v>
      </c>
      <c r="M47" s="314">
        <v>38</v>
      </c>
      <c r="N47" s="166">
        <v>38</v>
      </c>
    </row>
    <row r="48" spans="1:14" s="7" customFormat="1" ht="23.25" customHeight="1">
      <c r="A48" s="1487"/>
      <c r="B48" s="1487"/>
      <c r="C48" s="1498"/>
      <c r="D48" s="1498"/>
      <c r="E48" s="1499"/>
      <c r="F48" s="326" t="s">
        <v>254</v>
      </c>
      <c r="G48" s="384" t="s">
        <v>135</v>
      </c>
      <c r="H48" s="1090">
        <v>10.4</v>
      </c>
      <c r="I48" s="450">
        <f t="shared" si="1"/>
        <v>10.462400000000001</v>
      </c>
      <c r="J48" s="450">
        <f t="shared" si="1"/>
        <v>10.525174400000001</v>
      </c>
      <c r="K48" s="150" t="s">
        <v>392</v>
      </c>
      <c r="L48" s="314">
        <v>64</v>
      </c>
      <c r="M48" s="314">
        <v>64</v>
      </c>
      <c r="N48" s="166">
        <v>64</v>
      </c>
    </row>
    <row r="49" spans="1:14" s="7" customFormat="1" ht="23.25" customHeight="1">
      <c r="A49" s="1487"/>
      <c r="B49" s="1487"/>
      <c r="C49" s="1498"/>
      <c r="D49" s="1498"/>
      <c r="E49" s="1499"/>
      <c r="F49" s="326" t="s">
        <v>255</v>
      </c>
      <c r="G49" s="384" t="s">
        <v>135</v>
      </c>
      <c r="H49" s="1089">
        <v>8.4</v>
      </c>
      <c r="I49" s="450">
        <v>0</v>
      </c>
      <c r="J49" s="450">
        <f t="shared" si="1"/>
        <v>0</v>
      </c>
      <c r="K49" s="150" t="s">
        <v>392</v>
      </c>
      <c r="L49" s="314">
        <v>38</v>
      </c>
      <c r="M49" s="314"/>
      <c r="N49" s="166"/>
    </row>
    <row r="50" spans="1:14" s="7" customFormat="1" ht="23.25" customHeight="1">
      <c r="A50" s="1487"/>
      <c r="B50" s="1487"/>
      <c r="C50" s="1498"/>
      <c r="D50" s="1498"/>
      <c r="E50" s="1499"/>
      <c r="F50" s="341" t="s">
        <v>194</v>
      </c>
      <c r="G50" s="384" t="s">
        <v>135</v>
      </c>
      <c r="H50" s="1089">
        <v>5.0999999999999996</v>
      </c>
      <c r="I50" s="450">
        <f t="shared" si="1"/>
        <v>5.1305999999999994</v>
      </c>
      <c r="J50" s="450">
        <f t="shared" si="1"/>
        <v>5.1613835999999997</v>
      </c>
      <c r="K50" s="150" t="s">
        <v>392</v>
      </c>
      <c r="L50" s="314">
        <v>51</v>
      </c>
      <c r="M50" s="314">
        <v>51</v>
      </c>
      <c r="N50" s="166">
        <v>51</v>
      </c>
    </row>
    <row r="51" spans="1:14" s="7" customFormat="1" ht="23.25" customHeight="1">
      <c r="A51" s="1487"/>
      <c r="B51" s="1487"/>
      <c r="C51" s="1498"/>
      <c r="D51" s="1498"/>
      <c r="E51" s="1499"/>
      <c r="F51" s="342" t="s">
        <v>195</v>
      </c>
      <c r="G51" s="384" t="s">
        <v>135</v>
      </c>
      <c r="H51" s="1089">
        <v>1.8</v>
      </c>
      <c r="I51" s="450">
        <f t="shared" si="1"/>
        <v>1.8108</v>
      </c>
      <c r="J51" s="450">
        <f t="shared" si="1"/>
        <v>1.8216648</v>
      </c>
      <c r="K51" s="150" t="s">
        <v>392</v>
      </c>
      <c r="L51" s="314">
        <v>12</v>
      </c>
      <c r="M51" s="314">
        <v>12</v>
      </c>
      <c r="N51" s="166">
        <v>12</v>
      </c>
    </row>
    <row r="52" spans="1:14" s="7" customFormat="1" ht="23.25" customHeight="1">
      <c r="A52" s="1487"/>
      <c r="B52" s="1487"/>
      <c r="C52" s="1498"/>
      <c r="D52" s="1498"/>
      <c r="E52" s="1499"/>
      <c r="F52" s="341" t="s">
        <v>177</v>
      </c>
      <c r="G52" s="384" t="s">
        <v>135</v>
      </c>
      <c r="H52" s="1089">
        <v>1.3</v>
      </c>
      <c r="I52" s="450">
        <f t="shared" si="1"/>
        <v>1.3078000000000001</v>
      </c>
      <c r="J52" s="450">
        <f t="shared" si="1"/>
        <v>1.3156468000000001</v>
      </c>
      <c r="K52" s="150" t="s">
        <v>392</v>
      </c>
      <c r="L52" s="314">
        <v>7</v>
      </c>
      <c r="M52" s="314">
        <v>7</v>
      </c>
      <c r="N52" s="166">
        <v>7</v>
      </c>
    </row>
    <row r="53" spans="1:14" s="7" customFormat="1" ht="23.25" customHeight="1">
      <c r="A53" s="1487"/>
      <c r="B53" s="1487"/>
      <c r="C53" s="1498"/>
      <c r="D53" s="1498"/>
      <c r="E53" s="1499"/>
      <c r="F53" s="341" t="s">
        <v>176</v>
      </c>
      <c r="G53" s="384" t="s">
        <v>135</v>
      </c>
      <c r="H53" s="1090">
        <v>1.2</v>
      </c>
      <c r="I53" s="450">
        <f t="shared" si="1"/>
        <v>1.2072000000000001</v>
      </c>
      <c r="J53" s="450">
        <f t="shared" si="1"/>
        <v>1.2144432000000001</v>
      </c>
      <c r="K53" s="150" t="s">
        <v>392</v>
      </c>
      <c r="L53" s="314">
        <v>7</v>
      </c>
      <c r="M53" s="314">
        <v>7</v>
      </c>
      <c r="N53" s="166">
        <v>7</v>
      </c>
    </row>
    <row r="54" spans="1:14" s="7" customFormat="1" ht="23.25" customHeight="1">
      <c r="A54" s="1487"/>
      <c r="B54" s="1487"/>
      <c r="C54" s="1498"/>
      <c r="D54" s="1498"/>
      <c r="E54" s="1499"/>
      <c r="F54" s="341" t="s">
        <v>196</v>
      </c>
      <c r="G54" s="384" t="s">
        <v>135</v>
      </c>
      <c r="H54" s="1089">
        <v>1.3</v>
      </c>
      <c r="I54" s="450">
        <f t="shared" si="1"/>
        <v>1.3078000000000001</v>
      </c>
      <c r="J54" s="450">
        <f t="shared" si="1"/>
        <v>1.3156468000000001</v>
      </c>
      <c r="K54" s="150" t="s">
        <v>392</v>
      </c>
      <c r="L54" s="314">
        <v>6</v>
      </c>
      <c r="M54" s="314">
        <v>6</v>
      </c>
      <c r="N54" s="166">
        <v>6</v>
      </c>
    </row>
    <row r="55" spans="1:14" s="7" customFormat="1" ht="23.25" customHeight="1" thickBot="1">
      <c r="A55" s="1487"/>
      <c r="B55" s="1487"/>
      <c r="C55" s="1498"/>
      <c r="D55" s="1498"/>
      <c r="E55" s="1499"/>
      <c r="F55" s="341" t="s">
        <v>175</v>
      </c>
      <c r="G55" s="384" t="s">
        <v>135</v>
      </c>
      <c r="H55" s="1090">
        <v>1.1000000000000001</v>
      </c>
      <c r="I55" s="450">
        <f t="shared" si="1"/>
        <v>1.1066</v>
      </c>
      <c r="J55" s="450">
        <f t="shared" si="1"/>
        <v>1.1132396</v>
      </c>
      <c r="K55" s="150" t="s">
        <v>392</v>
      </c>
      <c r="L55" s="314">
        <v>8</v>
      </c>
      <c r="M55" s="314">
        <v>8</v>
      </c>
      <c r="N55" s="166">
        <v>8</v>
      </c>
    </row>
    <row r="56" spans="1:14" s="7" customFormat="1" ht="22.5" thickBot="1">
      <c r="A56" s="1487"/>
      <c r="B56" s="1487"/>
      <c r="C56" s="1153" t="s">
        <v>118</v>
      </c>
      <c r="D56" s="1372"/>
      <c r="E56" s="1372"/>
      <c r="F56" s="1372"/>
      <c r="G56" s="1373"/>
      <c r="H56" s="766">
        <f>SUM(H32:H55)</f>
        <v>271.30000000000007</v>
      </c>
      <c r="I56" s="767">
        <f>SUM(I32:I55)</f>
        <v>264.47739999999993</v>
      </c>
      <c r="J56" s="767">
        <f>SUM(J32:J55)</f>
        <v>266.06426440000007</v>
      </c>
      <c r="K56" s="176" t="s">
        <v>393</v>
      </c>
      <c r="L56" s="177">
        <f>L32+L33+L34+L35+L36+L37+L38+L39+L40+L41+L42+L43+L44+L45+L46+L47+L48+L49+L50+L51+L52+L53+L54+L55</f>
        <v>1459</v>
      </c>
      <c r="M56" s="177">
        <f>M32+M33+M34+M35+M36+M37+M38+M39+M40+M41+M42+M43+M44+M45+M46+M47+M48+M49+M50+M51+M52+M53+M54+M55</f>
        <v>1421</v>
      </c>
      <c r="N56" s="1086">
        <f>N32+N33+N34+N35+N36+N37+N38+N39+N40+N41+N42+N43+N44+N45+N46+N47+N48+N49+N50+N51+N52+N53+N54+N55</f>
        <v>1421</v>
      </c>
    </row>
    <row r="57" spans="1:14" s="319" customFormat="1" ht="23.25" customHeight="1" thickBot="1">
      <c r="A57" s="1487"/>
      <c r="B57" s="1487"/>
      <c r="C57" s="1165" t="s">
        <v>547</v>
      </c>
      <c r="D57" s="1166"/>
      <c r="E57" s="1167"/>
      <c r="F57" s="907" t="s">
        <v>171</v>
      </c>
      <c r="G57" s="862" t="s">
        <v>135</v>
      </c>
      <c r="H57" s="852">
        <v>55</v>
      </c>
      <c r="I57" s="590">
        <f>H57*1.006</f>
        <v>55.33</v>
      </c>
      <c r="J57" s="590">
        <f>I57*1.006</f>
        <v>55.66198</v>
      </c>
      <c r="K57" s="403" t="s">
        <v>542</v>
      </c>
      <c r="L57" s="880">
        <v>940</v>
      </c>
      <c r="M57" s="880">
        <v>940</v>
      </c>
      <c r="N57" s="908">
        <v>940</v>
      </c>
    </row>
    <row r="58" spans="1:14" s="319" customFormat="1" ht="13.5" thickBot="1">
      <c r="A58" s="1487"/>
      <c r="B58" s="1487"/>
      <c r="C58" s="1153" t="s">
        <v>118</v>
      </c>
      <c r="D58" s="1421"/>
      <c r="E58" s="1421"/>
      <c r="F58" s="1421"/>
      <c r="G58" s="1422"/>
      <c r="H58" s="766">
        <f>SUM(H57)</f>
        <v>55</v>
      </c>
      <c r="I58" s="767">
        <f>SUM(I57)</f>
        <v>55.33</v>
      </c>
      <c r="J58" s="767">
        <f>SUM(J57)</f>
        <v>55.66198</v>
      </c>
      <c r="K58" s="173"/>
      <c r="L58" s="149"/>
      <c r="M58" s="149"/>
      <c r="N58" s="171"/>
    </row>
    <row r="59" spans="1:14" s="319" customFormat="1" ht="23.25" thickBot="1">
      <c r="A59" s="1487"/>
      <c r="B59" s="1487"/>
      <c r="C59" s="1165" t="s">
        <v>549</v>
      </c>
      <c r="D59" s="1166"/>
      <c r="E59" s="1167"/>
      <c r="F59" s="914" t="s">
        <v>171</v>
      </c>
      <c r="G59" s="841" t="s">
        <v>135</v>
      </c>
      <c r="H59" s="865">
        <v>212.8</v>
      </c>
      <c r="I59" s="605">
        <f>H59*1.006</f>
        <v>214.07680000000002</v>
      </c>
      <c r="J59" s="605">
        <f>I59*1.006</f>
        <v>215.36126080000003</v>
      </c>
      <c r="K59" s="507" t="s">
        <v>550</v>
      </c>
      <c r="L59" s="625">
        <v>620</v>
      </c>
      <c r="M59" s="625">
        <v>620</v>
      </c>
      <c r="N59" s="626">
        <v>620</v>
      </c>
    </row>
    <row r="60" spans="1:14" s="319" customFormat="1" ht="13.5" thickBot="1">
      <c r="A60" s="1487"/>
      <c r="B60" s="1487"/>
      <c r="C60" s="1153" t="s">
        <v>118</v>
      </c>
      <c r="D60" s="1421"/>
      <c r="E60" s="1421"/>
      <c r="F60" s="1421"/>
      <c r="G60" s="1422"/>
      <c r="H60" s="755">
        <f>SUM(H59:H59)</f>
        <v>212.8</v>
      </c>
      <c r="I60" s="756">
        <f>SUM(I59:I59)</f>
        <v>214.07680000000002</v>
      </c>
      <c r="J60" s="756">
        <f>SUM(J59:J59)</f>
        <v>215.36126080000003</v>
      </c>
      <c r="K60" s="439"/>
      <c r="L60" s="581"/>
      <c r="M60" s="581"/>
      <c r="N60" s="582"/>
    </row>
    <row r="61" spans="1:14" s="7" customFormat="1" ht="13.5" thickBot="1">
      <c r="A61" s="1487"/>
      <c r="B61" s="1153" t="s">
        <v>119</v>
      </c>
      <c r="C61" s="1372"/>
      <c r="D61" s="1372"/>
      <c r="E61" s="1372"/>
      <c r="F61" s="1372"/>
      <c r="G61" s="1372"/>
      <c r="H61" s="766">
        <f>H56+H31+H29+H27+H58+H60</f>
        <v>597.10000000000014</v>
      </c>
      <c r="I61" s="767">
        <f t="shared" ref="I61:J61" si="2">I56+I31+I29+I27+I58+I60</f>
        <v>592.23219999999992</v>
      </c>
      <c r="J61" s="767">
        <f t="shared" si="2"/>
        <v>595.78559320000022</v>
      </c>
      <c r="K61" s="404"/>
      <c r="L61" s="149"/>
      <c r="M61" s="149"/>
      <c r="N61" s="171"/>
    </row>
    <row r="62" spans="1:14" s="7" customFormat="1" ht="30" customHeight="1" thickBot="1">
      <c r="A62" s="1487"/>
      <c r="B62" s="1171" t="s">
        <v>583</v>
      </c>
      <c r="C62" s="1165" t="s">
        <v>71</v>
      </c>
      <c r="D62" s="1166"/>
      <c r="E62" s="1167"/>
      <c r="F62" s="870" t="s">
        <v>171</v>
      </c>
      <c r="G62" s="862" t="s">
        <v>121</v>
      </c>
      <c r="H62" s="1091">
        <v>31.3</v>
      </c>
      <c r="I62" s="590">
        <f>H62*1.006</f>
        <v>31.4878</v>
      </c>
      <c r="J62" s="590">
        <f>I62*1.006</f>
        <v>31.676726800000001</v>
      </c>
      <c r="K62" s="403" t="s">
        <v>396</v>
      </c>
      <c r="L62" s="880">
        <v>17500</v>
      </c>
      <c r="M62" s="880">
        <v>17550</v>
      </c>
      <c r="N62" s="908">
        <v>17550</v>
      </c>
    </row>
    <row r="63" spans="1:14" s="7" customFormat="1" ht="13.5" thickBot="1">
      <c r="A63" s="1487"/>
      <c r="B63" s="1487"/>
      <c r="C63" s="1159" t="s">
        <v>118</v>
      </c>
      <c r="D63" s="1488"/>
      <c r="E63" s="1488"/>
      <c r="F63" s="1488"/>
      <c r="G63" s="1489"/>
      <c r="H63" s="175">
        <f>SUM(H62)</f>
        <v>31.3</v>
      </c>
      <c r="I63" s="161">
        <f>SUM(I62)</f>
        <v>31.4878</v>
      </c>
      <c r="J63" s="161">
        <f>SUM(J62)</f>
        <v>31.676726800000001</v>
      </c>
      <c r="K63" s="163"/>
      <c r="L63" s="149"/>
      <c r="M63" s="149"/>
      <c r="N63" s="171"/>
    </row>
    <row r="64" spans="1:14" s="7" customFormat="1" ht="13.5" thickBot="1">
      <c r="A64" s="1487"/>
      <c r="B64" s="1159" t="s">
        <v>119</v>
      </c>
      <c r="C64" s="1264"/>
      <c r="D64" s="1264"/>
      <c r="E64" s="1264"/>
      <c r="F64" s="1264"/>
      <c r="G64" s="1265"/>
      <c r="H64" s="178">
        <f>H63</f>
        <v>31.3</v>
      </c>
      <c r="I64" s="179">
        <f>I63</f>
        <v>31.4878</v>
      </c>
      <c r="J64" s="179">
        <f>J63</f>
        <v>31.676726800000001</v>
      </c>
      <c r="K64" s="180"/>
      <c r="L64" s="180"/>
      <c r="M64" s="180"/>
      <c r="N64" s="181"/>
    </row>
    <row r="65" spans="1:14" s="7" customFormat="1" ht="13.5" thickBot="1">
      <c r="A65" s="1217" t="s">
        <v>16</v>
      </c>
      <c r="B65" s="1370"/>
      <c r="C65" s="1518"/>
      <c r="D65" s="1518"/>
      <c r="E65" s="1518"/>
      <c r="F65" s="1518"/>
      <c r="G65" s="1518"/>
      <c r="H65" s="401">
        <f>H25+H61+H64</f>
        <v>10542.8</v>
      </c>
      <c r="I65" s="398">
        <f>I25+I61+I64</f>
        <v>10597.606400000002</v>
      </c>
      <c r="J65" s="398">
        <f>J25+J61+J64</f>
        <v>10661.192038400002</v>
      </c>
      <c r="K65" s="584"/>
      <c r="L65" s="581"/>
      <c r="M65" s="581"/>
      <c r="N65" s="582"/>
    </row>
    <row r="66" spans="1:14" s="7" customFormat="1" ht="22.5">
      <c r="A66" s="1171" t="s">
        <v>60</v>
      </c>
      <c r="B66" s="1454" t="s">
        <v>61</v>
      </c>
      <c r="C66" s="1165" t="s">
        <v>170</v>
      </c>
      <c r="D66" s="1166"/>
      <c r="E66" s="1167"/>
      <c r="F66" s="1513" t="s">
        <v>179</v>
      </c>
      <c r="G66" s="832" t="s">
        <v>121</v>
      </c>
      <c r="H66" s="854">
        <f>294.3-23.7-48.6</f>
        <v>222.00000000000003</v>
      </c>
      <c r="I66" s="603">
        <f t="shared" ref="I66:J69" si="3">H66*1.006</f>
        <v>223.33200000000002</v>
      </c>
      <c r="J66" s="603">
        <f t="shared" si="3"/>
        <v>224.67199200000002</v>
      </c>
      <c r="K66" s="740" t="s">
        <v>395</v>
      </c>
      <c r="L66" s="594">
        <v>30</v>
      </c>
      <c r="M66" s="594">
        <v>30</v>
      </c>
      <c r="N66" s="637">
        <v>30</v>
      </c>
    </row>
    <row r="67" spans="1:14" s="319" customFormat="1">
      <c r="A67" s="1184"/>
      <c r="B67" s="1455"/>
      <c r="C67" s="1299"/>
      <c r="D67" s="1322"/>
      <c r="E67" s="1323"/>
      <c r="F67" s="1514"/>
      <c r="G67" s="841" t="s">
        <v>135</v>
      </c>
      <c r="H67" s="1092">
        <v>23.7</v>
      </c>
      <c r="I67" s="607">
        <f t="shared" ref="I67" si="4">H67*1.006</f>
        <v>23.842199999999998</v>
      </c>
      <c r="J67" s="607">
        <f t="shared" ref="J67" si="5">I67*1.006</f>
        <v>23.985253199999999</v>
      </c>
      <c r="K67" s="402" t="s">
        <v>553</v>
      </c>
      <c r="L67" s="625">
        <v>3</v>
      </c>
      <c r="M67" s="625">
        <v>3</v>
      </c>
      <c r="N67" s="626">
        <v>3</v>
      </c>
    </row>
    <row r="68" spans="1:14" s="7" customFormat="1" ht="33.75" customHeight="1">
      <c r="A68" s="1172"/>
      <c r="B68" s="1456"/>
      <c r="C68" s="1452"/>
      <c r="D68" s="1322"/>
      <c r="E68" s="1323"/>
      <c r="F68" s="1515"/>
      <c r="G68" s="841" t="s">
        <v>122</v>
      </c>
      <c r="H68" s="866">
        <v>48.6</v>
      </c>
      <c r="I68" s="609">
        <f t="shared" si="3"/>
        <v>48.891600000000004</v>
      </c>
      <c r="J68" s="609">
        <f t="shared" si="3"/>
        <v>49.184949600000003</v>
      </c>
      <c r="K68" s="402" t="s">
        <v>551</v>
      </c>
      <c r="L68" s="625">
        <v>1</v>
      </c>
      <c r="M68" s="625">
        <v>1</v>
      </c>
      <c r="N68" s="626">
        <v>1</v>
      </c>
    </row>
    <row r="69" spans="1:14" s="7" customFormat="1" ht="25.5" customHeight="1" thickBot="1">
      <c r="A69" s="1172"/>
      <c r="B69" s="1456"/>
      <c r="C69" s="1230"/>
      <c r="D69" s="1231"/>
      <c r="E69" s="1232"/>
      <c r="F69" s="1093" t="s">
        <v>171</v>
      </c>
      <c r="G69" s="498" t="s">
        <v>121</v>
      </c>
      <c r="H69" s="512">
        <f>12.2+1.2</f>
        <v>13.399999999999999</v>
      </c>
      <c r="I69" s="512">
        <f t="shared" si="3"/>
        <v>13.480399999999999</v>
      </c>
      <c r="J69" s="512">
        <f t="shared" si="3"/>
        <v>13.5612824</v>
      </c>
      <c r="K69" s="956" t="s">
        <v>552</v>
      </c>
      <c r="L69" s="1077">
        <v>2</v>
      </c>
      <c r="M69" s="1077">
        <v>2</v>
      </c>
      <c r="N69" s="1078">
        <v>2</v>
      </c>
    </row>
    <row r="70" spans="1:14" s="7" customFormat="1" ht="13.5" thickBot="1">
      <c r="A70" s="1172"/>
      <c r="B70" s="1457"/>
      <c r="C70" s="1234" t="s">
        <v>118</v>
      </c>
      <c r="D70" s="1267"/>
      <c r="E70" s="1267"/>
      <c r="F70" s="1267"/>
      <c r="G70" s="1268"/>
      <c r="H70" s="392">
        <f>SUM(H66:H69)</f>
        <v>307.7</v>
      </c>
      <c r="I70" s="182">
        <f>SUM(I66:I69)</f>
        <v>309.5462</v>
      </c>
      <c r="J70" s="182">
        <f>SUM(J66:J69)</f>
        <v>311.4034772</v>
      </c>
      <c r="K70" s="196"/>
      <c r="L70" s="94"/>
      <c r="M70" s="94"/>
      <c r="N70" s="183"/>
    </row>
    <row r="71" spans="1:14" s="7" customFormat="1" ht="13.5" thickBot="1">
      <c r="A71" s="1172"/>
      <c r="B71" s="1185" t="s">
        <v>119</v>
      </c>
      <c r="C71" s="1305"/>
      <c r="D71" s="1305"/>
      <c r="E71" s="1305"/>
      <c r="F71" s="1305"/>
      <c r="G71" s="1453"/>
      <c r="H71" s="168">
        <f>SUM(H70)</f>
        <v>307.7</v>
      </c>
      <c r="I71" s="381">
        <f>SUM(I70)</f>
        <v>309.5462</v>
      </c>
      <c r="J71" s="381">
        <f>SUM(J70)</f>
        <v>311.4034772</v>
      </c>
      <c r="K71" s="437"/>
      <c r="L71" s="149"/>
      <c r="M71" s="149"/>
      <c r="N71" s="171"/>
    </row>
    <row r="72" spans="1:14" s="7" customFormat="1" ht="21" customHeight="1">
      <c r="A72" s="1172"/>
      <c r="B72" s="1454" t="s">
        <v>106</v>
      </c>
      <c r="C72" s="1156" t="s">
        <v>104</v>
      </c>
      <c r="D72" s="1157"/>
      <c r="E72" s="1158"/>
      <c r="F72" s="1439" t="s">
        <v>205</v>
      </c>
      <c r="G72" s="832" t="s">
        <v>121</v>
      </c>
      <c r="H72" s="854">
        <f>728.8-111-340</f>
        <v>277.79999999999995</v>
      </c>
      <c r="I72" s="603">
        <f>(H72*1.006)</f>
        <v>279.46679999999998</v>
      </c>
      <c r="J72" s="603">
        <f>(I72)*1.006</f>
        <v>281.1436008</v>
      </c>
      <c r="K72" s="1382" t="s">
        <v>257</v>
      </c>
      <c r="L72" s="1448">
        <v>65</v>
      </c>
      <c r="M72" s="1448">
        <v>65</v>
      </c>
      <c r="N72" s="1446">
        <v>65</v>
      </c>
    </row>
    <row r="73" spans="1:14" s="7" customFormat="1" ht="17.25" customHeight="1" thickBot="1">
      <c r="A73" s="1172"/>
      <c r="B73" s="1456"/>
      <c r="C73" s="1194"/>
      <c r="D73" s="1195"/>
      <c r="E73" s="1196"/>
      <c r="F73" s="1381"/>
      <c r="G73" s="498" t="s">
        <v>122</v>
      </c>
      <c r="H73" s="512">
        <v>340</v>
      </c>
      <c r="I73" s="512">
        <f>(H73)*1.006</f>
        <v>342.04</v>
      </c>
      <c r="J73" s="512">
        <f>(I73)*1.006</f>
        <v>344.09224</v>
      </c>
      <c r="K73" s="1381"/>
      <c r="L73" s="1449"/>
      <c r="M73" s="1449"/>
      <c r="N73" s="1447"/>
    </row>
    <row r="74" spans="1:14" s="7" customFormat="1" ht="13.5" thickBot="1">
      <c r="A74" s="1172"/>
      <c r="B74" s="1456"/>
      <c r="C74" s="1185" t="s">
        <v>118</v>
      </c>
      <c r="D74" s="1378"/>
      <c r="E74" s="1378"/>
      <c r="F74" s="1378"/>
      <c r="G74" s="1379"/>
      <c r="H74" s="766">
        <f>SUM(H72:H73)</f>
        <v>617.79999999999995</v>
      </c>
      <c r="I74" s="767">
        <f>SUM(I72:I73)</f>
        <v>621.5068</v>
      </c>
      <c r="J74" s="767">
        <f>SUM(J72:J73)</f>
        <v>625.23584080000001</v>
      </c>
      <c r="K74" s="381"/>
      <c r="L74" s="156"/>
      <c r="M74" s="156"/>
      <c r="N74" s="169"/>
    </row>
    <row r="75" spans="1:14" s="7" customFormat="1" ht="24" customHeight="1" thickBot="1">
      <c r="A75" s="1172"/>
      <c r="B75" s="1456"/>
      <c r="C75" s="1340" t="s">
        <v>105</v>
      </c>
      <c r="D75" s="1166"/>
      <c r="E75" s="1167"/>
      <c r="F75" s="862" t="s">
        <v>205</v>
      </c>
      <c r="G75" s="862" t="s">
        <v>135</v>
      </c>
      <c r="H75" s="857">
        <v>111</v>
      </c>
      <c r="I75" s="590">
        <f>H75*1.006</f>
        <v>111.666</v>
      </c>
      <c r="J75" s="590">
        <f>I75*1.006</f>
        <v>112.33599599999999</v>
      </c>
      <c r="K75" s="471" t="s">
        <v>400</v>
      </c>
      <c r="L75" s="880">
        <v>30</v>
      </c>
      <c r="M75" s="880">
        <v>30</v>
      </c>
      <c r="N75" s="908">
        <v>30</v>
      </c>
    </row>
    <row r="76" spans="1:14" s="7" customFormat="1" ht="18.75" customHeight="1" thickBot="1">
      <c r="A76" s="1172"/>
      <c r="B76" s="1457"/>
      <c r="C76" s="1423" t="s">
        <v>118</v>
      </c>
      <c r="D76" s="1424"/>
      <c r="E76" s="1424"/>
      <c r="F76" s="1424"/>
      <c r="G76" s="1425"/>
      <c r="H76" s="766">
        <f>SUM(H75)</f>
        <v>111</v>
      </c>
      <c r="I76" s="767">
        <f>SUM(I75)</f>
        <v>111.666</v>
      </c>
      <c r="J76" s="767">
        <f>SUM(J75)</f>
        <v>112.33599599999999</v>
      </c>
      <c r="K76" s="381"/>
      <c r="L76" s="156"/>
      <c r="M76" s="156"/>
      <c r="N76" s="169"/>
    </row>
    <row r="77" spans="1:14" s="7" customFormat="1" ht="28.5" customHeight="1" thickBot="1">
      <c r="A77" s="1172"/>
      <c r="B77" s="1153" t="s">
        <v>119</v>
      </c>
      <c r="C77" s="1378"/>
      <c r="D77" s="1378"/>
      <c r="E77" s="1378"/>
      <c r="F77" s="1378"/>
      <c r="G77" s="1379"/>
      <c r="H77" s="766">
        <f>SUM(H76)+H74</f>
        <v>728.8</v>
      </c>
      <c r="I77" s="767">
        <f>SUM(I76)+I74</f>
        <v>733.17280000000005</v>
      </c>
      <c r="J77" s="767">
        <f>SUM(J76)+J74</f>
        <v>737.57183680000003</v>
      </c>
      <c r="K77" s="437"/>
      <c r="L77" s="149"/>
      <c r="M77" s="149"/>
      <c r="N77" s="171"/>
    </row>
    <row r="78" spans="1:14" s="7" customFormat="1" ht="26.25" customHeight="1">
      <c r="A78" s="1172"/>
      <c r="B78" s="1171" t="s">
        <v>141</v>
      </c>
      <c r="C78" s="1440" t="s">
        <v>585</v>
      </c>
      <c r="D78" s="1177"/>
      <c r="E78" s="1177"/>
      <c r="F78" s="1442" t="s">
        <v>207</v>
      </c>
      <c r="G78" s="1149" t="s">
        <v>135</v>
      </c>
      <c r="H78" s="1468">
        <v>355.3</v>
      </c>
      <c r="I78" s="1367">
        <f>H78*1.006</f>
        <v>357.43180000000001</v>
      </c>
      <c r="J78" s="1367">
        <f>I78*1.006</f>
        <v>359.57639080000001</v>
      </c>
      <c r="K78" s="492" t="s">
        <v>397</v>
      </c>
      <c r="L78" s="594">
        <v>270</v>
      </c>
      <c r="M78" s="594">
        <v>270</v>
      </c>
      <c r="N78" s="637">
        <v>270</v>
      </c>
    </row>
    <row r="79" spans="1:14" s="315" customFormat="1" ht="27" customHeight="1" thickBot="1">
      <c r="A79" s="1172"/>
      <c r="B79" s="1172"/>
      <c r="C79" s="1441"/>
      <c r="D79" s="1183"/>
      <c r="E79" s="1183"/>
      <c r="F79" s="1365"/>
      <c r="G79" s="1362"/>
      <c r="H79" s="1152"/>
      <c r="I79" s="1354"/>
      <c r="J79" s="1354"/>
      <c r="K79" s="502" t="s">
        <v>398</v>
      </c>
      <c r="L79" s="658">
        <v>200</v>
      </c>
      <c r="M79" s="658">
        <v>210</v>
      </c>
      <c r="N79" s="659">
        <v>230</v>
      </c>
    </row>
    <row r="80" spans="1:14" s="7" customFormat="1" ht="13.5" thickBot="1">
      <c r="A80" s="1172"/>
      <c r="B80" s="1172"/>
      <c r="C80" s="1185" t="s">
        <v>118</v>
      </c>
      <c r="D80" s="1421"/>
      <c r="E80" s="1421"/>
      <c r="F80" s="1421"/>
      <c r="G80" s="1422"/>
      <c r="H80" s="766">
        <f>SUM(H78)</f>
        <v>355.3</v>
      </c>
      <c r="I80" s="767">
        <f>SUM(I78)</f>
        <v>357.43180000000001</v>
      </c>
      <c r="J80" s="767">
        <f>SUM(J78)</f>
        <v>359.57639080000001</v>
      </c>
      <c r="K80" s="152"/>
      <c r="L80" s="149"/>
      <c r="M80" s="149"/>
      <c r="N80" s="171"/>
    </row>
    <row r="81" spans="1:14" s="7" customFormat="1" ht="26.25" customHeight="1" thickBot="1">
      <c r="A81" s="1172"/>
      <c r="B81" s="1172"/>
      <c r="C81" s="1340" t="s">
        <v>584</v>
      </c>
      <c r="D81" s="1166"/>
      <c r="E81" s="1167"/>
      <c r="F81" s="1081" t="s">
        <v>207</v>
      </c>
      <c r="G81" s="862" t="s">
        <v>135</v>
      </c>
      <c r="H81" s="1094">
        <v>90</v>
      </c>
      <c r="I81" s="590">
        <f>H81*1.006</f>
        <v>90.54</v>
      </c>
      <c r="J81" s="590">
        <f>I81*1.006</f>
        <v>91.083240000000004</v>
      </c>
      <c r="K81" s="812" t="s">
        <v>399</v>
      </c>
      <c r="L81" s="625">
        <v>25</v>
      </c>
      <c r="M81" s="625">
        <v>28</v>
      </c>
      <c r="N81" s="626">
        <v>30</v>
      </c>
    </row>
    <row r="82" spans="1:14" s="7" customFormat="1" ht="13.5" thickBot="1">
      <c r="A82" s="1172"/>
      <c r="B82" s="1172"/>
      <c r="C82" s="1459" t="s">
        <v>118</v>
      </c>
      <c r="D82" s="1460"/>
      <c r="E82" s="1460"/>
      <c r="F82" s="1460"/>
      <c r="G82" s="1461"/>
      <c r="H82" s="365">
        <f>SUM(H81)</f>
        <v>90</v>
      </c>
      <c r="I82" s="366">
        <f>SUM(I81)</f>
        <v>90.54</v>
      </c>
      <c r="J82" s="366">
        <f>SUM(J81)</f>
        <v>91.083240000000004</v>
      </c>
      <c r="K82" s="439"/>
      <c r="L82" s="581"/>
      <c r="M82" s="581"/>
      <c r="N82" s="582"/>
    </row>
    <row r="83" spans="1:14" s="7" customFormat="1">
      <c r="A83" s="1172"/>
      <c r="B83" s="1172"/>
      <c r="C83" s="1464" t="s">
        <v>140</v>
      </c>
      <c r="D83" s="1179"/>
      <c r="E83" s="1179"/>
      <c r="F83" s="1415" t="s">
        <v>207</v>
      </c>
      <c r="G83" s="1197" t="s">
        <v>121</v>
      </c>
      <c r="H83" s="1384">
        <f>888.3-355.3-90-3.5-50-17</f>
        <v>372.5</v>
      </c>
      <c r="I83" s="1374">
        <f>H83*1.006</f>
        <v>374.73500000000001</v>
      </c>
      <c r="J83" s="1374">
        <f>I83*1.006</f>
        <v>376.98340999999999</v>
      </c>
      <c r="K83" s="1382" t="s">
        <v>557</v>
      </c>
      <c r="L83" s="1430">
        <v>25</v>
      </c>
      <c r="M83" s="1432">
        <v>24</v>
      </c>
      <c r="N83" s="1434">
        <v>22</v>
      </c>
    </row>
    <row r="84" spans="1:14" s="319" customFormat="1">
      <c r="A84" s="1172"/>
      <c r="B84" s="1172"/>
      <c r="C84" s="1464"/>
      <c r="D84" s="1179"/>
      <c r="E84" s="1179"/>
      <c r="F84" s="1416"/>
      <c r="G84" s="1519"/>
      <c r="H84" s="1385"/>
      <c r="I84" s="1386"/>
      <c r="J84" s="1386"/>
      <c r="K84" s="1383"/>
      <c r="L84" s="1431"/>
      <c r="M84" s="1433"/>
      <c r="N84" s="1435"/>
    </row>
    <row r="85" spans="1:14" s="319" customFormat="1" ht="23.25" customHeight="1">
      <c r="A85" s="1172"/>
      <c r="B85" s="1172"/>
      <c r="C85" s="1464"/>
      <c r="D85" s="1179"/>
      <c r="E85" s="1179"/>
      <c r="F85" s="1416"/>
      <c r="G85" s="1462" t="s">
        <v>122</v>
      </c>
      <c r="H85" s="1387">
        <v>17</v>
      </c>
      <c r="I85" s="1389">
        <f>H85*1.006</f>
        <v>17.102</v>
      </c>
      <c r="J85" s="1389">
        <f>I85*1.006</f>
        <v>17.204612000000001</v>
      </c>
      <c r="K85" s="402" t="s">
        <v>554</v>
      </c>
      <c r="L85" s="1083">
        <v>6000</v>
      </c>
      <c r="M85" s="625">
        <v>5900</v>
      </c>
      <c r="N85" s="626">
        <v>5800</v>
      </c>
    </row>
    <row r="86" spans="1:14" s="7" customFormat="1" ht="27.75" customHeight="1">
      <c r="A86" s="1172"/>
      <c r="B86" s="1172"/>
      <c r="C86" s="1465"/>
      <c r="D86" s="1181"/>
      <c r="E86" s="1181"/>
      <c r="F86" s="1417"/>
      <c r="G86" s="1463"/>
      <c r="H86" s="1388"/>
      <c r="I86" s="1229"/>
      <c r="J86" s="1229"/>
      <c r="K86" s="403" t="s">
        <v>555</v>
      </c>
      <c r="L86" s="1084">
        <v>95</v>
      </c>
      <c r="M86" s="880">
        <v>100</v>
      </c>
      <c r="N86" s="908">
        <v>110</v>
      </c>
    </row>
    <row r="87" spans="1:14" s="316" customFormat="1" ht="23.25" customHeight="1" thickBot="1">
      <c r="A87" s="1172"/>
      <c r="B87" s="1172"/>
      <c r="C87" s="1466"/>
      <c r="D87" s="1467"/>
      <c r="E87" s="1467"/>
      <c r="F87" s="1418"/>
      <c r="G87" s="1346"/>
      <c r="H87" s="1347"/>
      <c r="I87" s="1202"/>
      <c r="J87" s="1202"/>
      <c r="K87" s="502" t="s">
        <v>556</v>
      </c>
      <c r="L87" s="658">
        <v>100</v>
      </c>
      <c r="M87" s="658">
        <v>110</v>
      </c>
      <c r="N87" s="659">
        <v>120</v>
      </c>
    </row>
    <row r="88" spans="1:14" s="7" customFormat="1" ht="13.5" thickBot="1">
      <c r="A88" s="1172"/>
      <c r="B88" s="1172"/>
      <c r="C88" s="1153" t="s">
        <v>118</v>
      </c>
      <c r="D88" s="1378"/>
      <c r="E88" s="1378"/>
      <c r="F88" s="1378"/>
      <c r="G88" s="1379"/>
      <c r="H88" s="766">
        <f>SUM(H83:H86)</f>
        <v>389.5</v>
      </c>
      <c r="I88" s="767">
        <f>SUM(I83:I85)</f>
        <v>391.83699999999999</v>
      </c>
      <c r="J88" s="767">
        <f>SUM(J83:J85)</f>
        <v>394.18802199999999</v>
      </c>
      <c r="K88" s="153"/>
      <c r="L88" s="94"/>
      <c r="M88" s="94"/>
      <c r="N88" s="183"/>
    </row>
    <row r="89" spans="1:14" s="7" customFormat="1" ht="36" customHeight="1" thickBot="1">
      <c r="A89" s="1172"/>
      <c r="B89" s="1172"/>
      <c r="C89" s="1395" t="s">
        <v>558</v>
      </c>
      <c r="D89" s="1419"/>
      <c r="E89" s="1420"/>
      <c r="F89" s="1082" t="s">
        <v>207</v>
      </c>
      <c r="G89" s="862" t="s">
        <v>121</v>
      </c>
      <c r="H89" s="1094">
        <v>3.5</v>
      </c>
      <c r="I89" s="590">
        <f>H89*1.006</f>
        <v>3.5209999999999999</v>
      </c>
      <c r="J89" s="590">
        <f>I89*1.006</f>
        <v>3.5421260000000001</v>
      </c>
      <c r="K89" s="403" t="s">
        <v>559</v>
      </c>
      <c r="L89" s="880">
        <v>2900</v>
      </c>
      <c r="M89" s="880">
        <v>3000</v>
      </c>
      <c r="N89" s="908">
        <v>3000</v>
      </c>
    </row>
    <row r="90" spans="1:14" s="7" customFormat="1" ht="13.5" thickBot="1">
      <c r="A90" s="1172"/>
      <c r="B90" s="1172"/>
      <c r="C90" s="1185" t="s">
        <v>118</v>
      </c>
      <c r="D90" s="1421"/>
      <c r="E90" s="1421"/>
      <c r="F90" s="1421"/>
      <c r="G90" s="1422"/>
      <c r="H90" s="766">
        <f>SUM(H89)</f>
        <v>3.5</v>
      </c>
      <c r="I90" s="767">
        <f>SUM(I89)</f>
        <v>3.5209999999999999</v>
      </c>
      <c r="J90" s="767">
        <f>SUM(J89)</f>
        <v>3.5421260000000001</v>
      </c>
      <c r="K90" s="163"/>
      <c r="L90" s="149"/>
      <c r="M90" s="149"/>
      <c r="N90" s="171"/>
    </row>
    <row r="91" spans="1:14" s="7" customFormat="1" ht="23.25" thickBot="1">
      <c r="A91" s="1172"/>
      <c r="B91" s="1172"/>
      <c r="C91" s="1396" t="s">
        <v>44</v>
      </c>
      <c r="D91" s="1419"/>
      <c r="E91" s="1420"/>
      <c r="F91" s="1081" t="s">
        <v>207</v>
      </c>
      <c r="G91" s="862" t="s">
        <v>121</v>
      </c>
      <c r="H91" s="1094">
        <v>50</v>
      </c>
      <c r="I91" s="590">
        <f>H91*1.006</f>
        <v>50.3</v>
      </c>
      <c r="J91" s="590">
        <f>I91*1.006</f>
        <v>50.601799999999997</v>
      </c>
      <c r="K91" s="813" t="s">
        <v>560</v>
      </c>
      <c r="L91" s="625">
        <v>230</v>
      </c>
      <c r="M91" s="625">
        <v>250</v>
      </c>
      <c r="N91" s="626">
        <v>250</v>
      </c>
    </row>
    <row r="92" spans="1:14" s="7" customFormat="1" ht="13.5" thickBot="1">
      <c r="A92" s="1172"/>
      <c r="B92" s="1172"/>
      <c r="C92" s="1153" t="s">
        <v>118</v>
      </c>
      <c r="D92" s="1185"/>
      <c r="E92" s="1185"/>
      <c r="F92" s="1185"/>
      <c r="G92" s="1458"/>
      <c r="H92" s="755">
        <f>SUM(H91)</f>
        <v>50</v>
      </c>
      <c r="I92" s="756">
        <f>SUM(I91)</f>
        <v>50.3</v>
      </c>
      <c r="J92" s="756">
        <f>SUM(J91)</f>
        <v>50.601799999999997</v>
      </c>
      <c r="K92" s="439"/>
      <c r="L92" s="581"/>
      <c r="M92" s="581"/>
      <c r="N92" s="582"/>
    </row>
    <row r="93" spans="1:14" s="7" customFormat="1" ht="13.5" thickBot="1">
      <c r="A93" s="1172"/>
      <c r="B93" s="1153" t="s">
        <v>119</v>
      </c>
      <c r="C93" s="1378"/>
      <c r="D93" s="1378"/>
      <c r="E93" s="1378"/>
      <c r="F93" s="1378"/>
      <c r="G93" s="1378"/>
      <c r="H93" s="766">
        <f>H92+H90+H88+H82+H80</f>
        <v>888.3</v>
      </c>
      <c r="I93" s="767">
        <f>I92+I90+I88+I82+I80</f>
        <v>893.62979999999993</v>
      </c>
      <c r="J93" s="767">
        <f>J92+J90+J88+J82+J80</f>
        <v>898.99157880000007</v>
      </c>
      <c r="K93" s="437"/>
      <c r="L93" s="149"/>
      <c r="M93" s="149"/>
      <c r="N93" s="171"/>
    </row>
    <row r="94" spans="1:14" s="7" customFormat="1" ht="13.5" customHeight="1">
      <c r="A94" s="1172"/>
      <c r="B94" s="1171" t="s">
        <v>62</v>
      </c>
      <c r="C94" s="1165" t="s">
        <v>572</v>
      </c>
      <c r="D94" s="1166"/>
      <c r="E94" s="1167"/>
      <c r="F94" s="1415" t="s">
        <v>206</v>
      </c>
      <c r="G94" s="832" t="s">
        <v>121</v>
      </c>
      <c r="H94" s="1095">
        <f>579.9-12.6</f>
        <v>567.29999999999995</v>
      </c>
      <c r="I94" s="607">
        <f>H94*1.006</f>
        <v>570.7038</v>
      </c>
      <c r="J94" s="607">
        <f>I94*1.006</f>
        <v>574.12802280000005</v>
      </c>
      <c r="K94" s="1392" t="s">
        <v>402</v>
      </c>
      <c r="L94" s="1426">
        <v>50</v>
      </c>
      <c r="M94" s="1426">
        <v>45</v>
      </c>
      <c r="N94" s="1450">
        <v>40</v>
      </c>
    </row>
    <row r="95" spans="1:14" s="7" customFormat="1" ht="24.75" customHeight="1" thickBot="1">
      <c r="A95" s="1172"/>
      <c r="B95" s="1184"/>
      <c r="C95" s="1230"/>
      <c r="D95" s="1231"/>
      <c r="E95" s="1232"/>
      <c r="F95" s="1418"/>
      <c r="G95" s="498" t="s">
        <v>122</v>
      </c>
      <c r="H95" s="982">
        <v>12.6</v>
      </c>
      <c r="I95" s="512">
        <f>H95*1.006</f>
        <v>12.675599999999999</v>
      </c>
      <c r="J95" s="512">
        <f>I95*1.006</f>
        <v>12.751653599999999</v>
      </c>
      <c r="K95" s="1393"/>
      <c r="L95" s="1427"/>
      <c r="M95" s="1427"/>
      <c r="N95" s="1451"/>
    </row>
    <row r="96" spans="1:14" s="7" customFormat="1" ht="13.5" thickBot="1">
      <c r="A96" s="1172"/>
      <c r="B96" s="1517"/>
      <c r="C96" s="1153" t="s">
        <v>118</v>
      </c>
      <c r="D96" s="1378"/>
      <c r="E96" s="1378"/>
      <c r="F96" s="1378"/>
      <c r="G96" s="1379"/>
      <c r="H96" s="766">
        <f>SUM(H94:H95)</f>
        <v>579.9</v>
      </c>
      <c r="I96" s="767">
        <f>SUM(I94:I95)</f>
        <v>583.37940000000003</v>
      </c>
      <c r="J96" s="767">
        <f>SUM(J94:J95)</f>
        <v>586.87967640000011</v>
      </c>
      <c r="K96" s="437"/>
      <c r="L96" s="149"/>
      <c r="M96" s="149"/>
      <c r="N96" s="171"/>
    </row>
    <row r="97" spans="1:14" s="7" customFormat="1" ht="13.5" thickBot="1">
      <c r="A97" s="1172"/>
      <c r="B97" s="1153" t="s">
        <v>119</v>
      </c>
      <c r="C97" s="1378"/>
      <c r="D97" s="1378"/>
      <c r="E97" s="1378"/>
      <c r="F97" s="1378"/>
      <c r="G97" s="1378"/>
      <c r="H97" s="766">
        <f>H96</f>
        <v>579.9</v>
      </c>
      <c r="I97" s="767">
        <f>I96</f>
        <v>583.37940000000003</v>
      </c>
      <c r="J97" s="767">
        <f>J96</f>
        <v>586.87967640000011</v>
      </c>
      <c r="K97" s="437"/>
      <c r="L97" s="149"/>
      <c r="M97" s="149"/>
      <c r="N97" s="171"/>
    </row>
    <row r="98" spans="1:14" s="7" customFormat="1" ht="46.5" customHeight="1">
      <c r="A98" s="1172"/>
      <c r="B98" s="1171" t="s">
        <v>63</v>
      </c>
      <c r="C98" s="1165" t="s">
        <v>64</v>
      </c>
      <c r="D98" s="1166"/>
      <c r="E98" s="1167"/>
      <c r="F98" s="1439" t="s">
        <v>208</v>
      </c>
      <c r="G98" s="832" t="s">
        <v>121</v>
      </c>
      <c r="H98" s="1096">
        <f>166.6-7</f>
        <v>159.6</v>
      </c>
      <c r="I98" s="859">
        <f>H98*1.006</f>
        <v>160.55760000000001</v>
      </c>
      <c r="J98" s="607">
        <f>I98*1.006</f>
        <v>161.5209456</v>
      </c>
      <c r="K98" s="507" t="s">
        <v>403</v>
      </c>
      <c r="L98" s="689">
        <v>54</v>
      </c>
      <c r="M98" s="689">
        <v>54</v>
      </c>
      <c r="N98" s="690">
        <v>54</v>
      </c>
    </row>
    <row r="99" spans="1:14" s="7" customFormat="1" ht="46.5" customHeight="1" thickBot="1">
      <c r="A99" s="1172"/>
      <c r="B99" s="1172"/>
      <c r="C99" s="1230"/>
      <c r="D99" s="1231"/>
      <c r="E99" s="1232"/>
      <c r="F99" s="1381"/>
      <c r="G99" s="498" t="s">
        <v>122</v>
      </c>
      <c r="H99" s="512">
        <v>7</v>
      </c>
      <c r="I99" s="512">
        <f>H99*1.006</f>
        <v>7.0419999999999998</v>
      </c>
      <c r="J99" s="512">
        <f>I99*1.006</f>
        <v>7.0842520000000002</v>
      </c>
      <c r="K99" s="533" t="s">
        <v>401</v>
      </c>
      <c r="L99" s="658">
        <v>11</v>
      </c>
      <c r="M99" s="658">
        <v>11</v>
      </c>
      <c r="N99" s="659">
        <v>11</v>
      </c>
    </row>
    <row r="100" spans="1:14" s="7" customFormat="1" ht="13.5" thickBot="1">
      <c r="A100" s="1172"/>
      <c r="B100" s="1173"/>
      <c r="C100" s="1423" t="s">
        <v>118</v>
      </c>
      <c r="D100" s="1375"/>
      <c r="E100" s="1375"/>
      <c r="F100" s="1375"/>
      <c r="G100" s="1376"/>
      <c r="H100" s="766">
        <f>SUM(H98:H99)</f>
        <v>166.6</v>
      </c>
      <c r="I100" s="767">
        <f>SUM(I98:I99)</f>
        <v>167.59960000000001</v>
      </c>
      <c r="J100" s="767">
        <f>SUM(J98:J99)</f>
        <v>168.6051976</v>
      </c>
      <c r="K100" s="437"/>
      <c r="L100" s="149"/>
      <c r="M100" s="149"/>
      <c r="N100" s="171"/>
    </row>
    <row r="101" spans="1:14" s="7" customFormat="1" ht="13.5" thickBot="1">
      <c r="A101" s="1172"/>
      <c r="B101" s="1153" t="s">
        <v>119</v>
      </c>
      <c r="C101" s="1378"/>
      <c r="D101" s="1378"/>
      <c r="E101" s="1378"/>
      <c r="F101" s="1378"/>
      <c r="G101" s="1379"/>
      <c r="H101" s="898">
        <f>H100</f>
        <v>166.6</v>
      </c>
      <c r="I101" s="926">
        <f>I100</f>
        <v>167.59960000000001</v>
      </c>
      <c r="J101" s="926">
        <f>J100</f>
        <v>168.6051976</v>
      </c>
      <c r="K101" s="196"/>
      <c r="L101" s="94"/>
      <c r="M101" s="94"/>
      <c r="N101" s="183"/>
    </row>
    <row r="102" spans="1:14" s="7" customFormat="1" ht="74.25" customHeight="1" thickBot="1">
      <c r="A102" s="1172"/>
      <c r="B102" s="320" t="s">
        <v>586</v>
      </c>
      <c r="C102" s="1443" t="s">
        <v>28</v>
      </c>
      <c r="D102" s="1340"/>
      <c r="E102" s="1341"/>
      <c r="F102" s="138" t="s">
        <v>171</v>
      </c>
      <c r="G102" s="832" t="s">
        <v>121</v>
      </c>
      <c r="H102" s="769">
        <v>12</v>
      </c>
      <c r="I102" s="769">
        <f>H102*1.006</f>
        <v>12.071999999999999</v>
      </c>
      <c r="J102" s="769">
        <f>I102*1.006</f>
        <v>12.144432</v>
      </c>
      <c r="K102" s="578" t="s">
        <v>561</v>
      </c>
      <c r="L102" s="583">
        <v>5</v>
      </c>
      <c r="M102" s="583">
        <v>5</v>
      </c>
      <c r="N102" s="580">
        <v>5</v>
      </c>
    </row>
    <row r="103" spans="1:14" s="7" customFormat="1" ht="15" customHeight="1" thickBot="1">
      <c r="A103" s="1172"/>
      <c r="B103" s="1153" t="s">
        <v>118</v>
      </c>
      <c r="C103" s="1211"/>
      <c r="D103" s="1211"/>
      <c r="E103" s="1211"/>
      <c r="F103" s="1211"/>
      <c r="G103" s="1212"/>
      <c r="H103" s="766">
        <f>SUM(H102:H102)</f>
        <v>12</v>
      </c>
      <c r="I103" s="767">
        <f>SUM(I102:I102)</f>
        <v>12.071999999999999</v>
      </c>
      <c r="J103" s="767">
        <f>SUM(J102:J102)</f>
        <v>12.144432</v>
      </c>
      <c r="K103" s="437"/>
      <c r="L103" s="149"/>
      <c r="M103" s="149"/>
      <c r="N103" s="171"/>
    </row>
    <row r="104" spans="1:14" s="7" customFormat="1" ht="13.5" thickBot="1">
      <c r="A104" s="1173"/>
      <c r="B104" s="1153" t="s">
        <v>119</v>
      </c>
      <c r="C104" s="1211"/>
      <c r="D104" s="1211"/>
      <c r="E104" s="1211"/>
      <c r="F104" s="1211"/>
      <c r="G104" s="1212"/>
      <c r="H104" s="1058">
        <f>H103</f>
        <v>12</v>
      </c>
      <c r="I104" s="996">
        <f>I103</f>
        <v>12.071999999999999</v>
      </c>
      <c r="J104" s="996">
        <f>J103</f>
        <v>12.144432</v>
      </c>
      <c r="K104" s="452"/>
      <c r="L104" s="329"/>
      <c r="M104" s="329"/>
      <c r="N104" s="307"/>
    </row>
    <row r="105" spans="1:14" s="7" customFormat="1" ht="13.5" thickBot="1">
      <c r="A105" s="1217" t="s">
        <v>16</v>
      </c>
      <c r="B105" s="1370"/>
      <c r="C105" s="1370"/>
      <c r="D105" s="1370"/>
      <c r="E105" s="1370"/>
      <c r="F105" s="1370"/>
      <c r="G105" s="1370"/>
      <c r="H105" s="175">
        <f>H71+H77+H93+H97+H101+H104</f>
        <v>2683.2999999999997</v>
      </c>
      <c r="I105" s="161">
        <f>I71+I77+I93+I97+I101+I104</f>
        <v>2699.3998000000001</v>
      </c>
      <c r="J105" s="161">
        <f>J71+J77+J93+J97+J101+J104</f>
        <v>2715.5961987999999</v>
      </c>
      <c r="K105" s="152"/>
      <c r="L105" s="149"/>
      <c r="M105" s="149"/>
      <c r="N105" s="171"/>
    </row>
    <row r="106" spans="1:14" s="7" customFormat="1" ht="15.75" customHeight="1" thickBot="1">
      <c r="A106" s="1171" t="s">
        <v>65</v>
      </c>
      <c r="B106" s="1171" t="s">
        <v>66</v>
      </c>
      <c r="C106" s="1097" t="s">
        <v>573</v>
      </c>
      <c r="D106" s="1098"/>
      <c r="E106" s="1099"/>
      <c r="F106" s="1100" t="s">
        <v>171</v>
      </c>
      <c r="G106" s="842" t="s">
        <v>121</v>
      </c>
      <c r="H106" s="852">
        <v>8</v>
      </c>
      <c r="I106" s="806">
        <f>H106*1.006</f>
        <v>8.048</v>
      </c>
      <c r="J106" s="806">
        <f>I106*1.006</f>
        <v>8.0962879999999995</v>
      </c>
      <c r="K106" s="912" t="s">
        <v>405</v>
      </c>
      <c r="L106" s="712">
        <v>3</v>
      </c>
      <c r="M106" s="712">
        <v>3</v>
      </c>
      <c r="N106" s="713">
        <v>3</v>
      </c>
    </row>
    <row r="107" spans="1:14" s="7" customFormat="1" ht="13.5" thickBot="1">
      <c r="A107" s="1172"/>
      <c r="B107" s="1172"/>
      <c r="C107" s="1423" t="s">
        <v>118</v>
      </c>
      <c r="D107" s="1424"/>
      <c r="E107" s="1424"/>
      <c r="F107" s="1424"/>
      <c r="G107" s="1425"/>
      <c r="H107" s="755">
        <f>SUM(H106)</f>
        <v>8</v>
      </c>
      <c r="I107" s="756">
        <f>SUM(I106)</f>
        <v>8.048</v>
      </c>
      <c r="J107" s="756">
        <f>SUM(J106)</f>
        <v>8.0962879999999995</v>
      </c>
      <c r="K107" s="174"/>
      <c r="L107" s="572"/>
      <c r="M107" s="572"/>
      <c r="N107" s="407"/>
    </row>
    <row r="108" spans="1:14" s="405" customFormat="1" ht="21.75" customHeight="1">
      <c r="A108" s="1172"/>
      <c r="B108" s="1210"/>
      <c r="C108" s="1309" t="s">
        <v>577</v>
      </c>
      <c r="D108" s="1363"/>
      <c r="E108" s="1363"/>
      <c r="F108" s="1412" t="s">
        <v>171</v>
      </c>
      <c r="G108" s="832" t="s">
        <v>121</v>
      </c>
      <c r="H108" s="854">
        <v>1</v>
      </c>
      <c r="I108" s="968">
        <v>1</v>
      </c>
      <c r="J108" s="968">
        <v>1</v>
      </c>
      <c r="K108" s="1390" t="s">
        <v>581</v>
      </c>
      <c r="L108" s="1428">
        <v>240</v>
      </c>
      <c r="M108" s="1428">
        <v>240</v>
      </c>
      <c r="N108" s="1413">
        <v>240</v>
      </c>
    </row>
    <row r="109" spans="1:14" s="405" customFormat="1" ht="21.75" customHeight="1" thickBot="1">
      <c r="A109" s="1172"/>
      <c r="B109" s="1210"/>
      <c r="C109" s="1364"/>
      <c r="D109" s="1365"/>
      <c r="E109" s="1365"/>
      <c r="F109" s="1183"/>
      <c r="G109" s="498" t="s">
        <v>143</v>
      </c>
      <c r="H109" s="865">
        <v>110</v>
      </c>
      <c r="I109" s="807">
        <v>80</v>
      </c>
      <c r="J109" s="807">
        <v>50</v>
      </c>
      <c r="K109" s="1391"/>
      <c r="L109" s="1200"/>
      <c r="M109" s="1200"/>
      <c r="N109" s="1429"/>
    </row>
    <row r="110" spans="1:14" s="405" customFormat="1" ht="13.5" thickBot="1">
      <c r="A110" s="1172"/>
      <c r="B110" s="1172"/>
      <c r="C110" s="1444" t="s">
        <v>118</v>
      </c>
      <c r="D110" s="1445"/>
      <c r="E110" s="1445"/>
      <c r="F110" s="1445"/>
      <c r="G110" s="1445"/>
      <c r="H110" s="766">
        <f>H108+H109</f>
        <v>111</v>
      </c>
      <c r="I110" s="767">
        <f>I108+I109</f>
        <v>81</v>
      </c>
      <c r="J110" s="767">
        <f>J108+J109</f>
        <v>51</v>
      </c>
      <c r="K110" s="381"/>
      <c r="L110" s="156"/>
      <c r="M110" s="156"/>
      <c r="N110" s="169"/>
    </row>
    <row r="111" spans="1:14" s="7" customFormat="1" ht="39" customHeight="1" thickBot="1">
      <c r="A111" s="1172"/>
      <c r="B111" s="1172"/>
      <c r="C111" s="1340" t="s">
        <v>578</v>
      </c>
      <c r="D111" s="1166"/>
      <c r="E111" s="1167"/>
      <c r="F111" s="870" t="s">
        <v>171</v>
      </c>
      <c r="G111" s="862" t="s">
        <v>121</v>
      </c>
      <c r="H111" s="852">
        <v>400</v>
      </c>
      <c r="I111" s="590">
        <f>H111*1.006</f>
        <v>402.4</v>
      </c>
      <c r="J111" s="590">
        <f>SUM(I111)*1.006</f>
        <v>404.81439999999998</v>
      </c>
      <c r="K111" s="507" t="s">
        <v>562</v>
      </c>
      <c r="L111" s="726">
        <v>84</v>
      </c>
      <c r="M111" s="726">
        <v>90</v>
      </c>
      <c r="N111" s="727">
        <v>95</v>
      </c>
    </row>
    <row r="112" spans="1:14" s="7" customFormat="1" ht="13.5" thickBot="1">
      <c r="A112" s="1172"/>
      <c r="B112" s="1172"/>
      <c r="C112" s="1185" t="s">
        <v>118</v>
      </c>
      <c r="D112" s="1372"/>
      <c r="E112" s="1372"/>
      <c r="F112" s="1372"/>
      <c r="G112" s="1373"/>
      <c r="H112" s="766">
        <f>SUM(H111)</f>
        <v>400</v>
      </c>
      <c r="I112" s="767">
        <f>SUM(I111)</f>
        <v>402.4</v>
      </c>
      <c r="J112" s="767">
        <f>SUM(J111)</f>
        <v>404.81439999999998</v>
      </c>
      <c r="K112" s="437"/>
      <c r="L112" s="149"/>
      <c r="M112" s="149"/>
      <c r="N112" s="171"/>
    </row>
    <row r="113" spans="1:14" s="7" customFormat="1" ht="21.75" customHeight="1">
      <c r="A113" s="1172"/>
      <c r="B113" s="1172"/>
      <c r="C113" s="1165" t="s">
        <v>579</v>
      </c>
      <c r="D113" s="1166"/>
      <c r="E113" s="1167"/>
      <c r="F113" s="1439" t="s">
        <v>171</v>
      </c>
      <c r="G113" s="1197" t="s">
        <v>135</v>
      </c>
      <c r="H113" s="1374">
        <v>57.7</v>
      </c>
      <c r="I113" s="1374">
        <f>H113*1.006</f>
        <v>58.046200000000006</v>
      </c>
      <c r="J113" s="1374">
        <f>I113*1.006</f>
        <v>58.394477200000004</v>
      </c>
      <c r="K113" s="1380" t="s">
        <v>563</v>
      </c>
      <c r="L113" s="1428">
        <v>42</v>
      </c>
      <c r="M113" s="1428">
        <v>45</v>
      </c>
      <c r="N113" s="1413">
        <v>50</v>
      </c>
    </row>
    <row r="114" spans="1:14" s="7" customFormat="1" ht="16.5" customHeight="1" thickBot="1">
      <c r="A114" s="1172"/>
      <c r="B114" s="1172"/>
      <c r="C114" s="1230"/>
      <c r="D114" s="1231"/>
      <c r="E114" s="1232"/>
      <c r="F114" s="1381"/>
      <c r="G114" s="1381"/>
      <c r="H114" s="1381"/>
      <c r="I114" s="1202"/>
      <c r="J114" s="1202"/>
      <c r="K114" s="1202"/>
      <c r="L114" s="1146"/>
      <c r="M114" s="1146"/>
      <c r="N114" s="1414"/>
    </row>
    <row r="115" spans="1:14" s="7" customFormat="1" ht="15.75" customHeight="1" thickBot="1">
      <c r="A115" s="1172"/>
      <c r="B115" s="1172"/>
      <c r="C115" s="1185" t="s">
        <v>118</v>
      </c>
      <c r="D115" s="1372"/>
      <c r="E115" s="1372"/>
      <c r="F115" s="1372"/>
      <c r="G115" s="1373"/>
      <c r="H115" s="766">
        <f>SUM(H113:H114)</f>
        <v>57.7</v>
      </c>
      <c r="I115" s="767">
        <f>SUM(I113:I114)</f>
        <v>58.046200000000006</v>
      </c>
      <c r="J115" s="767">
        <f>SUM(J113:J114)</f>
        <v>58.394477200000004</v>
      </c>
      <c r="K115" s="437"/>
      <c r="L115" s="149"/>
      <c r="M115" s="149"/>
      <c r="N115" s="171"/>
    </row>
    <row r="116" spans="1:14" s="7" customFormat="1" ht="25.5" customHeight="1" thickBot="1">
      <c r="A116" s="1172"/>
      <c r="B116" s="1172"/>
      <c r="C116" s="1340" t="s">
        <v>580</v>
      </c>
      <c r="D116" s="1166"/>
      <c r="E116" s="1167"/>
      <c r="F116" s="907" t="s">
        <v>171</v>
      </c>
      <c r="G116" s="862" t="s">
        <v>121</v>
      </c>
      <c r="H116" s="852">
        <v>350</v>
      </c>
      <c r="I116" s="1075">
        <f>H116*1.006</f>
        <v>352.1</v>
      </c>
      <c r="J116" s="1075">
        <f>I116*1.006</f>
        <v>354.21260000000001</v>
      </c>
      <c r="K116" s="1076" t="s">
        <v>404</v>
      </c>
      <c r="L116" s="728">
        <v>41</v>
      </c>
      <c r="M116" s="728">
        <v>40</v>
      </c>
      <c r="N116" s="729">
        <v>35</v>
      </c>
    </row>
    <row r="117" spans="1:14" s="7" customFormat="1" ht="13.5" thickBot="1">
      <c r="A117" s="1172"/>
      <c r="B117" s="1173"/>
      <c r="C117" s="1423" t="s">
        <v>118</v>
      </c>
      <c r="D117" s="1375"/>
      <c r="E117" s="1375"/>
      <c r="F117" s="1375"/>
      <c r="G117" s="1375"/>
      <c r="H117" s="755">
        <f>SUM(H116)</f>
        <v>350</v>
      </c>
      <c r="I117" s="756">
        <f>SUM(I116)</f>
        <v>352.1</v>
      </c>
      <c r="J117" s="756">
        <f>SUM(J116)</f>
        <v>354.21260000000001</v>
      </c>
      <c r="K117" s="398"/>
      <c r="L117" s="408"/>
      <c r="M117" s="408"/>
      <c r="N117" s="409"/>
    </row>
    <row r="118" spans="1:14" s="7" customFormat="1" ht="13.5" thickBot="1">
      <c r="A118" s="1172"/>
      <c r="B118" s="1153" t="s">
        <v>119</v>
      </c>
      <c r="C118" s="1378"/>
      <c r="D118" s="1378"/>
      <c r="E118" s="1378"/>
      <c r="F118" s="1378"/>
      <c r="G118" s="1378"/>
      <c r="H118" s="766">
        <f>H117+H115+H112+H107+H110</f>
        <v>926.7</v>
      </c>
      <c r="I118" s="767">
        <f>I117+I115+I112+I107+I110</f>
        <v>901.5942</v>
      </c>
      <c r="J118" s="767">
        <f>J117+J115+J112+J107+J110</f>
        <v>876.51776519999999</v>
      </c>
      <c r="K118" s="161"/>
      <c r="L118" s="134"/>
      <c r="M118" s="134"/>
      <c r="N118" s="184"/>
    </row>
    <row r="119" spans="1:14" s="7" customFormat="1" ht="13.5" thickBot="1">
      <c r="A119" s="1217" t="s">
        <v>303</v>
      </c>
      <c r="B119" s="1370"/>
      <c r="C119" s="1370"/>
      <c r="D119" s="1370"/>
      <c r="E119" s="1370"/>
      <c r="F119" s="1370"/>
      <c r="G119" s="1371"/>
      <c r="H119" s="187">
        <f>H118</f>
        <v>926.7</v>
      </c>
      <c r="I119" s="185">
        <f>I118</f>
        <v>901.5942</v>
      </c>
      <c r="J119" s="185">
        <f>J118</f>
        <v>876.51776519999999</v>
      </c>
      <c r="K119" s="185"/>
      <c r="L119" s="142"/>
      <c r="M119" s="142"/>
      <c r="N119" s="186"/>
    </row>
    <row r="120" spans="1:14" s="7" customFormat="1" ht="27.75" customHeight="1" thickBot="1">
      <c r="A120" s="1171" t="s">
        <v>72</v>
      </c>
      <c r="B120" s="1213" t="s">
        <v>564</v>
      </c>
      <c r="C120" s="1165" t="s">
        <v>575</v>
      </c>
      <c r="D120" s="1166"/>
      <c r="E120" s="1167"/>
      <c r="F120" s="846" t="s">
        <v>171</v>
      </c>
      <c r="G120" s="842" t="s">
        <v>121</v>
      </c>
      <c r="H120" s="838">
        <v>600</v>
      </c>
      <c r="I120" s="589">
        <f>H120*1.006</f>
        <v>603.6</v>
      </c>
      <c r="J120" s="589">
        <f>I120*1.006</f>
        <v>607.22160000000008</v>
      </c>
      <c r="K120" s="578" t="s">
        <v>565</v>
      </c>
      <c r="L120" s="1042">
        <v>2890</v>
      </c>
      <c r="M120" s="1042">
        <v>3000</v>
      </c>
      <c r="N120" s="1071">
        <v>3100</v>
      </c>
    </row>
    <row r="121" spans="1:14" s="7" customFormat="1" ht="13.5" thickBot="1">
      <c r="A121" s="1172"/>
      <c r="B121" s="1210"/>
      <c r="C121" s="1153" t="s">
        <v>118</v>
      </c>
      <c r="D121" s="1421"/>
      <c r="E121" s="1421"/>
      <c r="F121" s="1421"/>
      <c r="G121" s="1422"/>
      <c r="H121" s="766">
        <f>SUM(H120:H120)</f>
        <v>600</v>
      </c>
      <c r="I121" s="767">
        <f>SUM(I120:I120)</f>
        <v>603.6</v>
      </c>
      <c r="J121" s="767">
        <f>SUM(J120:J120)</f>
        <v>607.22160000000008</v>
      </c>
      <c r="K121" s="173"/>
      <c r="L121" s="149"/>
      <c r="M121" s="149"/>
      <c r="N121" s="171"/>
    </row>
    <row r="122" spans="1:14" s="405" customFormat="1" ht="69" customHeight="1" thickBot="1">
      <c r="A122" s="1172"/>
      <c r="B122" s="1210"/>
      <c r="C122" s="1299" t="s">
        <v>574</v>
      </c>
      <c r="D122" s="1322"/>
      <c r="E122" s="1323"/>
      <c r="F122" s="914" t="s">
        <v>171</v>
      </c>
      <c r="G122" s="862" t="s">
        <v>121</v>
      </c>
      <c r="H122" s="865">
        <v>1700</v>
      </c>
      <c r="I122" s="605">
        <f>H122*1.006</f>
        <v>1710.2</v>
      </c>
      <c r="J122" s="605">
        <f>I122*1.006</f>
        <v>1720.4612</v>
      </c>
      <c r="K122" s="507" t="s">
        <v>540</v>
      </c>
      <c r="L122" s="625">
        <v>1880</v>
      </c>
      <c r="M122" s="625">
        <v>1880</v>
      </c>
      <c r="N122" s="626">
        <v>1880</v>
      </c>
    </row>
    <row r="123" spans="1:14" s="405" customFormat="1" ht="13.5" thickBot="1">
      <c r="A123" s="1172"/>
      <c r="B123" s="1377"/>
      <c r="C123" s="1153" t="s">
        <v>118</v>
      </c>
      <c r="D123" s="1378"/>
      <c r="E123" s="1378"/>
      <c r="F123" s="1378"/>
      <c r="G123" s="1379"/>
      <c r="H123" s="755">
        <f>SUM(H122:H122)</f>
        <v>1700</v>
      </c>
      <c r="I123" s="756">
        <f>SUM(I122:I122)</f>
        <v>1710.2</v>
      </c>
      <c r="J123" s="756">
        <f>SUM(J122:J122)</f>
        <v>1720.4612</v>
      </c>
      <c r="K123" s="439"/>
      <c r="L123" s="581"/>
      <c r="M123" s="581"/>
      <c r="N123" s="582"/>
    </row>
    <row r="124" spans="1:14" s="7" customFormat="1" ht="13.5" thickBot="1">
      <c r="A124" s="1172"/>
      <c r="B124" s="1153" t="s">
        <v>119</v>
      </c>
      <c r="C124" s="1378"/>
      <c r="D124" s="1378"/>
      <c r="E124" s="1378"/>
      <c r="F124" s="1378"/>
      <c r="G124" s="1378"/>
      <c r="H124" s="766">
        <f>H121+H122</f>
        <v>2300</v>
      </c>
      <c r="I124" s="767">
        <f>I121+I122</f>
        <v>2313.8000000000002</v>
      </c>
      <c r="J124" s="767">
        <f>J121+J122</f>
        <v>2327.6828</v>
      </c>
      <c r="K124" s="437"/>
      <c r="L124" s="149"/>
      <c r="M124" s="149"/>
      <c r="N124" s="171"/>
    </row>
    <row r="125" spans="1:14" s="7" customFormat="1" ht="38.25" customHeight="1">
      <c r="A125" s="1172"/>
      <c r="B125" s="1171" t="s">
        <v>73</v>
      </c>
      <c r="C125" s="1165" t="s">
        <v>455</v>
      </c>
      <c r="D125" s="1340"/>
      <c r="E125" s="1341"/>
      <c r="F125" s="1513" t="s">
        <v>171</v>
      </c>
      <c r="G125" s="832" t="s">
        <v>120</v>
      </c>
      <c r="H125" s="840">
        <v>14.6</v>
      </c>
      <c r="I125" s="607">
        <f>H125*1.006</f>
        <v>14.6876</v>
      </c>
      <c r="J125" s="607">
        <f>I125*1.006</f>
        <v>14.775725599999999</v>
      </c>
      <c r="K125" s="492" t="s">
        <v>836</v>
      </c>
      <c r="L125" s="594">
        <v>498985</v>
      </c>
      <c r="M125" s="594">
        <v>498985</v>
      </c>
      <c r="N125" s="637">
        <v>498985</v>
      </c>
    </row>
    <row r="126" spans="1:14" s="7" customFormat="1" ht="38.25" customHeight="1" thickBot="1">
      <c r="A126" s="1172"/>
      <c r="B126" s="1172"/>
      <c r="C126" s="1436"/>
      <c r="D126" s="1437"/>
      <c r="E126" s="1438"/>
      <c r="F126" s="1516"/>
      <c r="G126" s="498" t="s">
        <v>121</v>
      </c>
      <c r="H126" s="511">
        <v>530</v>
      </c>
      <c r="I126" s="512">
        <f>H126*1.006</f>
        <v>533.17999999999995</v>
      </c>
      <c r="J126" s="512">
        <f>I126*1.006</f>
        <v>536.37907999999993</v>
      </c>
      <c r="K126" s="920" t="s">
        <v>837</v>
      </c>
      <c r="L126" s="1079">
        <v>7047</v>
      </c>
      <c r="M126" s="1079">
        <v>7047</v>
      </c>
      <c r="N126" s="1080">
        <v>7047</v>
      </c>
    </row>
    <row r="127" spans="1:14" s="7" customFormat="1" ht="13.5" thickBot="1">
      <c r="A127" s="1172"/>
      <c r="B127" s="1172"/>
      <c r="C127" s="1159" t="s">
        <v>118</v>
      </c>
      <c r="D127" s="1375"/>
      <c r="E127" s="1375"/>
      <c r="F127" s="1375"/>
      <c r="G127" s="1376"/>
      <c r="H127" s="766">
        <f>SUM(H125:H126)</f>
        <v>544.6</v>
      </c>
      <c r="I127" s="684">
        <f>SUM(I125:I126)</f>
        <v>547.86759999999992</v>
      </c>
      <c r="J127" s="684">
        <f>SUM(J125:J126)</f>
        <v>551.15480559999992</v>
      </c>
      <c r="K127" s="437"/>
      <c r="L127" s="149"/>
      <c r="M127" s="149"/>
      <c r="N127" s="171"/>
    </row>
    <row r="128" spans="1:14" s="7" customFormat="1" ht="13.5" thickBot="1">
      <c r="A128" s="1172"/>
      <c r="B128" s="1159" t="s">
        <v>119</v>
      </c>
      <c r="C128" s="1375"/>
      <c r="D128" s="1375"/>
      <c r="E128" s="1375"/>
      <c r="F128" s="1375"/>
      <c r="G128" s="1376"/>
      <c r="H128" s="766">
        <f>H127</f>
        <v>544.6</v>
      </c>
      <c r="I128" s="684">
        <f>I127</f>
        <v>547.86759999999992</v>
      </c>
      <c r="J128" s="684">
        <f>J127</f>
        <v>551.15480559999992</v>
      </c>
      <c r="K128" s="437"/>
      <c r="L128" s="149"/>
      <c r="M128" s="149"/>
      <c r="N128" s="171"/>
    </row>
    <row r="129" spans="1:14" s="7" customFormat="1" ht="13.5" thickBot="1">
      <c r="A129" s="1297" t="s">
        <v>303</v>
      </c>
      <c r="B129" s="1368"/>
      <c r="C129" s="1368"/>
      <c r="D129" s="1368"/>
      <c r="E129" s="1368"/>
      <c r="F129" s="1368"/>
      <c r="G129" s="1369"/>
      <c r="H129" s="766">
        <f>H128+H124</f>
        <v>2844.6</v>
      </c>
      <c r="I129" s="767">
        <f>I128+I124</f>
        <v>2861.6676000000002</v>
      </c>
      <c r="J129" s="767">
        <f>J128+J124</f>
        <v>2878.8376055999997</v>
      </c>
      <c r="K129" s="437"/>
      <c r="L129" s="149"/>
      <c r="M129" s="149"/>
      <c r="N129" s="171"/>
    </row>
    <row r="130" spans="1:14" s="7" customFormat="1" ht="23.25" customHeight="1" thickBot="1">
      <c r="A130" s="1400" t="s">
        <v>74</v>
      </c>
      <c r="B130" s="1400" t="s">
        <v>75</v>
      </c>
      <c r="C130" s="1395" t="s">
        <v>649</v>
      </c>
      <c r="D130" s="1396"/>
      <c r="E130" s="1397"/>
      <c r="F130" s="907" t="s">
        <v>171</v>
      </c>
      <c r="G130" s="862" t="s">
        <v>135</v>
      </c>
      <c r="H130" s="852">
        <v>0.8</v>
      </c>
      <c r="I130" s="590">
        <f>H130*1.006</f>
        <v>0.80480000000000007</v>
      </c>
      <c r="J130" s="590">
        <f>I130*1.006</f>
        <v>0.80962880000000004</v>
      </c>
      <c r="K130" s="812" t="s">
        <v>650</v>
      </c>
      <c r="L130" s="880">
        <v>30</v>
      </c>
      <c r="M130" s="880">
        <v>30</v>
      </c>
      <c r="N130" s="908">
        <v>30</v>
      </c>
    </row>
    <row r="131" spans="1:14" s="7" customFormat="1" ht="13.5" thickBot="1">
      <c r="A131" s="1400"/>
      <c r="B131" s="1400"/>
      <c r="C131" s="1402" t="s">
        <v>118</v>
      </c>
      <c r="D131" s="1410"/>
      <c r="E131" s="1410"/>
      <c r="F131" s="1410"/>
      <c r="G131" s="1411"/>
      <c r="H131" s="755">
        <f>SUM(H130:H130)</f>
        <v>0.8</v>
      </c>
      <c r="I131" s="756">
        <f>SUM(I130:I130)</f>
        <v>0.80480000000000007</v>
      </c>
      <c r="J131" s="756">
        <f>SUM(J130:J130)</f>
        <v>0.80962880000000004</v>
      </c>
      <c r="K131" s="439"/>
      <c r="L131" s="581"/>
      <c r="M131" s="581"/>
      <c r="N131" s="582"/>
    </row>
    <row r="132" spans="1:14" s="7" customFormat="1" ht="35.25" customHeight="1">
      <c r="A132" s="1400"/>
      <c r="B132" s="1401"/>
      <c r="C132" s="1309" t="s">
        <v>651</v>
      </c>
      <c r="D132" s="1348"/>
      <c r="E132" s="1348"/>
      <c r="F132" s="1412" t="s">
        <v>171</v>
      </c>
      <c r="G132" s="1197" t="s">
        <v>121</v>
      </c>
      <c r="H132" s="1367">
        <v>35</v>
      </c>
      <c r="I132" s="1367">
        <f>H132*1.006</f>
        <v>35.21</v>
      </c>
      <c r="J132" s="1367">
        <f>I132*1.006</f>
        <v>35.421260000000004</v>
      </c>
      <c r="K132" s="601" t="s">
        <v>652</v>
      </c>
      <c r="L132" s="594">
        <v>516</v>
      </c>
      <c r="M132" s="594">
        <v>520</v>
      </c>
      <c r="N132" s="637">
        <v>525</v>
      </c>
    </row>
    <row r="133" spans="1:14" s="436" customFormat="1" ht="26.25" customHeight="1" thickBot="1">
      <c r="A133" s="1400"/>
      <c r="B133" s="1401"/>
      <c r="C133" s="1311"/>
      <c r="D133" s="1312"/>
      <c r="E133" s="1312"/>
      <c r="F133" s="1183"/>
      <c r="G133" s="1346"/>
      <c r="H133" s="1183"/>
      <c r="I133" s="1354"/>
      <c r="J133" s="1354"/>
      <c r="K133" s="533" t="s">
        <v>653</v>
      </c>
      <c r="L133" s="658">
        <v>30</v>
      </c>
      <c r="M133" s="658">
        <v>40</v>
      </c>
      <c r="N133" s="659">
        <v>50</v>
      </c>
    </row>
    <row r="134" spans="1:14" s="7" customFormat="1" ht="13.5" thickBot="1">
      <c r="A134" s="1400"/>
      <c r="B134" s="1400"/>
      <c r="C134" s="1398" t="s">
        <v>118</v>
      </c>
      <c r="D134" s="1408"/>
      <c r="E134" s="1408"/>
      <c r="F134" s="1408"/>
      <c r="G134" s="1409"/>
      <c r="H134" s="995">
        <f>SUM(H132:H132)</f>
        <v>35</v>
      </c>
      <c r="I134" s="996">
        <f>SUM(I132:I132)</f>
        <v>35.21</v>
      </c>
      <c r="J134" s="996">
        <f>SUM(J132:J132)</f>
        <v>35.421260000000004</v>
      </c>
      <c r="K134" s="172"/>
      <c r="L134" s="329"/>
      <c r="M134" s="579"/>
      <c r="N134" s="307"/>
    </row>
    <row r="135" spans="1:14" s="405" customFormat="1" ht="15.75" customHeight="1">
      <c r="A135" s="1400"/>
      <c r="B135" s="1400"/>
      <c r="C135" s="1406" t="s">
        <v>576</v>
      </c>
      <c r="D135" s="1407"/>
      <c r="E135" s="1407"/>
      <c r="F135" s="1412" t="s">
        <v>171</v>
      </c>
      <c r="G135" s="832" t="s">
        <v>121</v>
      </c>
      <c r="H135" s="854">
        <v>66.7</v>
      </c>
      <c r="I135" s="603">
        <v>66.7</v>
      </c>
      <c r="J135" s="603">
        <v>0</v>
      </c>
      <c r="K135" s="601" t="s">
        <v>341</v>
      </c>
      <c r="L135" s="594">
        <v>35</v>
      </c>
      <c r="M135" s="594">
        <v>35</v>
      </c>
      <c r="N135" s="637"/>
    </row>
    <row r="136" spans="1:14" s="405" customFormat="1" ht="19.5" customHeight="1" thickBot="1">
      <c r="A136" s="1400"/>
      <c r="B136" s="1400"/>
      <c r="C136" s="1230"/>
      <c r="D136" s="1231"/>
      <c r="E136" s="1231"/>
      <c r="F136" s="1183"/>
      <c r="G136" s="498" t="s">
        <v>143</v>
      </c>
      <c r="H136" s="512">
        <v>377.7</v>
      </c>
      <c r="I136" s="512">
        <v>377.7</v>
      </c>
      <c r="J136" s="512">
        <v>0</v>
      </c>
      <c r="K136" s="413" t="s">
        <v>596</v>
      </c>
      <c r="L136" s="612">
        <v>50</v>
      </c>
      <c r="M136" s="612">
        <v>100</v>
      </c>
      <c r="N136" s="1069"/>
    </row>
    <row r="137" spans="1:14" s="7" customFormat="1" ht="13.5" thickBot="1">
      <c r="A137" s="1400"/>
      <c r="B137" s="1400"/>
      <c r="C137" s="1398" t="s">
        <v>118</v>
      </c>
      <c r="D137" s="1399"/>
      <c r="E137" s="1399"/>
      <c r="F137" s="1399"/>
      <c r="G137" s="1399"/>
      <c r="H137" s="925">
        <f>H135+H136</f>
        <v>444.4</v>
      </c>
      <c r="I137" s="926">
        <f>I135+I136</f>
        <v>444.4</v>
      </c>
      <c r="J137" s="926">
        <f>J135+J136</f>
        <v>0</v>
      </c>
      <c r="K137" s="196"/>
      <c r="L137" s="94"/>
      <c r="M137" s="94"/>
      <c r="N137" s="183"/>
    </row>
    <row r="138" spans="1:14" s="7" customFormat="1" ht="13.5" thickBot="1">
      <c r="A138" s="1400"/>
      <c r="B138" s="1402" t="s">
        <v>119</v>
      </c>
      <c r="C138" s="1403"/>
      <c r="D138" s="1403"/>
      <c r="E138" s="1403"/>
      <c r="F138" s="1403"/>
      <c r="G138" s="1403"/>
      <c r="H138" s="925">
        <f>H131+H134+H137</f>
        <v>480.2</v>
      </c>
      <c r="I138" s="926">
        <f>I131+I134+I137</f>
        <v>480.41479999999996</v>
      </c>
      <c r="J138" s="926">
        <f>J131+J134+J137</f>
        <v>36.230888800000002</v>
      </c>
      <c r="K138" s="196"/>
      <c r="L138" s="94"/>
      <c r="M138" s="94"/>
      <c r="N138" s="183"/>
    </row>
    <row r="139" spans="1:14" s="7" customFormat="1" ht="13.5" thickBot="1">
      <c r="A139" s="1217" t="s">
        <v>303</v>
      </c>
      <c r="B139" s="1404"/>
      <c r="C139" s="1404"/>
      <c r="D139" s="1404"/>
      <c r="E139" s="1404"/>
      <c r="F139" s="1404"/>
      <c r="G139" s="1405"/>
      <c r="H139" s="1070">
        <f>H138</f>
        <v>480.2</v>
      </c>
      <c r="I139" s="447">
        <f>I138</f>
        <v>480.41479999999996</v>
      </c>
      <c r="J139" s="447">
        <f>J138</f>
        <v>36.230888800000002</v>
      </c>
      <c r="K139" s="148"/>
      <c r="L139" s="329"/>
      <c r="M139" s="329"/>
      <c r="N139" s="307"/>
    </row>
    <row r="140" spans="1:14" s="7" customFormat="1" ht="13.5" thickBot="1">
      <c r="A140" s="1394" t="s">
        <v>310</v>
      </c>
      <c r="B140" s="1368"/>
      <c r="C140" s="1368"/>
      <c r="D140" s="1368"/>
      <c r="E140" s="1368"/>
      <c r="F140" s="1368"/>
      <c r="G140" s="1369"/>
      <c r="H140" s="766">
        <f>H139+H129+H119+H105+H65</f>
        <v>17477.599999999999</v>
      </c>
      <c r="I140" s="767">
        <f>I139+I129+I119+I105+I65</f>
        <v>17540.682800000002</v>
      </c>
      <c r="J140" s="767">
        <f>J139+J129+J119+J105+J65</f>
        <v>17168.374496800003</v>
      </c>
      <c r="K140" s="176"/>
      <c r="L140" s="406"/>
      <c r="M140" s="406"/>
      <c r="N140" s="106"/>
    </row>
    <row r="141" spans="1:14" s="7" customFormat="1" ht="10.5" customHeight="1">
      <c r="A141" s="86"/>
      <c r="B141" s="104"/>
      <c r="C141" s="104"/>
      <c r="D141" s="1130"/>
      <c r="E141" s="32"/>
      <c r="F141" s="32" t="s">
        <v>11</v>
      </c>
      <c r="G141" s="32"/>
      <c r="H141" s="32"/>
      <c r="I141" s="56"/>
      <c r="J141" s="56"/>
      <c r="K141" s="56"/>
      <c r="L141" s="93"/>
      <c r="M141" s="93"/>
      <c r="N141" s="93"/>
    </row>
    <row r="142" spans="1:14" s="10" customFormat="1" ht="10.5" customHeight="1">
      <c r="A142" s="36"/>
      <c r="B142" s="29"/>
      <c r="C142" s="87"/>
      <c r="D142" s="40"/>
      <c r="E142" s="41"/>
      <c r="F142" s="41"/>
      <c r="G142" s="81" t="s">
        <v>124</v>
      </c>
      <c r="H142" s="450">
        <f>SUMIF($G$8:$G$139,"SB",H$8:H$139)</f>
        <v>5498.0999999999995</v>
      </c>
      <c r="I142" s="450">
        <f>SUMIF($G$8:$G$139,"SB",I$8:I$139)</f>
        <v>5530.6823999999997</v>
      </c>
      <c r="J142" s="450">
        <f>SUMIF($G$8:$G$139,"SB",J$8:J$139)</f>
        <v>5496.7602943999991</v>
      </c>
      <c r="K142" s="318"/>
      <c r="L142" s="314"/>
      <c r="M142" s="314"/>
      <c r="N142" s="314"/>
    </row>
    <row r="143" spans="1:14" s="10" customFormat="1" ht="10.5" customHeight="1">
      <c r="A143" s="36"/>
      <c r="B143" s="127"/>
      <c r="C143" s="55"/>
      <c r="D143" s="40"/>
      <c r="E143" s="41"/>
      <c r="F143" s="41"/>
      <c r="G143" s="81" t="s">
        <v>125</v>
      </c>
      <c r="H143" s="450">
        <f>SUMIF($G$8:$G$139,"VB-STD",H$8:H$139)</f>
        <v>1177.6000000000001</v>
      </c>
      <c r="I143" s="450">
        <f>SUMIF($G$8:$G$139,"VB-STD",I$8:I$139)</f>
        <v>1176.2151999999999</v>
      </c>
      <c r="J143" s="450">
        <f>SUMIF($G$8:$G$139,"VB-STD",J$8:J$139)</f>
        <v>1183.2724912000001</v>
      </c>
      <c r="K143" s="195"/>
      <c r="L143" s="109"/>
      <c r="M143" s="109"/>
      <c r="N143" s="109"/>
    </row>
    <row r="144" spans="1:14" s="10" customFormat="1" ht="10.5" customHeight="1">
      <c r="A144" s="36"/>
      <c r="B144" s="127"/>
      <c r="C144" s="55"/>
      <c r="D144" s="18"/>
      <c r="E144" s="19"/>
      <c r="F144" s="19"/>
      <c r="G144" s="81" t="s">
        <v>126</v>
      </c>
      <c r="H144" s="450">
        <f>SUMIF($G$8:$G$139,"ES",H$8:H$139)</f>
        <v>487.7</v>
      </c>
      <c r="I144" s="450">
        <f>SUMIF($G$8:$G$139,"ES",I$8:I$139)</f>
        <v>457.7</v>
      </c>
      <c r="J144" s="450">
        <f>SUMIF($G$8:$G$139,"ES",J$8:J$139)</f>
        <v>50</v>
      </c>
      <c r="K144" s="195"/>
      <c r="L144" s="109"/>
      <c r="M144" s="109"/>
      <c r="N144" s="109"/>
    </row>
    <row r="145" spans="1:15" s="7" customFormat="1" ht="10.5" customHeight="1">
      <c r="A145" s="36"/>
      <c r="B145" s="127"/>
      <c r="C145" s="55"/>
      <c r="D145" s="18"/>
      <c r="E145" s="19"/>
      <c r="F145" s="19"/>
      <c r="G145" s="81" t="s">
        <v>127</v>
      </c>
      <c r="H145" s="450">
        <f>SUMIF($G$8:$G$139,"SAARS",H$8:H$139)</f>
        <v>0</v>
      </c>
      <c r="I145" s="450">
        <f>SUMIF($G$8:$G$139,"SAARS",I$8:I$139)</f>
        <v>0</v>
      </c>
      <c r="J145" s="450">
        <f>SUMIF($G$8:$G$139,"SAARS",J$8:J$139)</f>
        <v>0</v>
      </c>
      <c r="K145" s="195"/>
      <c r="L145" s="109"/>
      <c r="M145" s="109"/>
      <c r="N145" s="109"/>
    </row>
    <row r="146" spans="1:15" s="7" customFormat="1" ht="10.5" customHeight="1">
      <c r="A146" s="36"/>
      <c r="B146" s="127"/>
      <c r="C146" s="55"/>
      <c r="D146" s="18"/>
      <c r="E146" s="19"/>
      <c r="F146" s="19"/>
      <c r="G146" s="81" t="s">
        <v>128</v>
      </c>
      <c r="H146" s="450">
        <f>SUMIF($G$8:$G$139,"KPPP",H$8:H$139)</f>
        <v>0</v>
      </c>
      <c r="I146" s="450">
        <f>SUMIF($G$8:$G$139,"KPPP",I$8:I$139)</f>
        <v>0</v>
      </c>
      <c r="J146" s="450">
        <f>SUMIF($G$8:$G$139,"KPPP",J$8:J$139)</f>
        <v>0</v>
      </c>
      <c r="K146" s="195"/>
      <c r="L146" s="109"/>
      <c r="M146" s="109"/>
      <c r="N146" s="109"/>
    </row>
    <row r="147" spans="1:15" s="7" customFormat="1" ht="10.5" customHeight="1">
      <c r="A147" s="36"/>
      <c r="B147" s="127"/>
      <c r="C147" s="55"/>
      <c r="D147" s="18"/>
      <c r="E147" s="19"/>
      <c r="F147" s="19"/>
      <c r="G147" s="82" t="s">
        <v>129</v>
      </c>
      <c r="H147" s="450">
        <f>SUMIF($G$8:$G$139,"UF",H$8:H$139)</f>
        <v>0</v>
      </c>
      <c r="I147" s="450">
        <f>SUMIF($G$8:$G$139,"UF",I$8:I$139)</f>
        <v>0</v>
      </c>
      <c r="J147" s="450">
        <f>SUMIF($G$8:$G$139,"UF",J$8:J$139)</f>
        <v>0</v>
      </c>
      <c r="K147" s="195"/>
      <c r="L147" s="109"/>
      <c r="M147" s="109"/>
      <c r="N147" s="109"/>
    </row>
    <row r="148" spans="1:15" s="7" customFormat="1" ht="10.5" customHeight="1">
      <c r="A148" s="36"/>
      <c r="B148" s="127"/>
      <c r="C148" s="55"/>
      <c r="D148" s="18"/>
      <c r="E148" s="19"/>
      <c r="F148" s="19"/>
      <c r="G148" s="81" t="s">
        <v>130</v>
      </c>
      <c r="H148" s="450">
        <f>SUMIF($G$8:$G$139,"VB",H$8:H$139)</f>
        <v>9889</v>
      </c>
      <c r="I148" s="450">
        <f>SUMIF($G$8:$G$139,"VB",I$8:I$139)</f>
        <v>9948.3340000000007</v>
      </c>
      <c r="J148" s="450">
        <f>SUMIF($G$8:$G$139,"VB",J$8:J$139)</f>
        <v>10008.024004000001</v>
      </c>
      <c r="K148" s="195"/>
      <c r="L148" s="109"/>
      <c r="M148" s="109"/>
      <c r="N148" s="109"/>
    </row>
    <row r="149" spans="1:15" s="7" customFormat="1" ht="10.5" customHeight="1">
      <c r="A149" s="36"/>
      <c r="B149" s="127"/>
      <c r="C149" s="55"/>
      <c r="D149" s="18"/>
      <c r="E149" s="19"/>
      <c r="F149" s="19"/>
      <c r="G149" s="81" t="s">
        <v>131</v>
      </c>
      <c r="H149" s="450">
        <f>SUMIF($G$8:$G$139,"SL",H$8:H$139)</f>
        <v>0</v>
      </c>
      <c r="I149" s="450">
        <f>SUMIF($G$8:$G$139,"SL",I$8:I$139)</f>
        <v>0</v>
      </c>
      <c r="J149" s="450">
        <f>SUMIF($G$8:$G$139,"SL",J$8:J$139)</f>
        <v>0</v>
      </c>
      <c r="K149" s="195"/>
      <c r="L149" s="109"/>
      <c r="M149" s="109"/>
      <c r="N149" s="109"/>
    </row>
    <row r="150" spans="1:15" s="7" customFormat="1" ht="10.5" customHeight="1">
      <c r="A150" s="77"/>
      <c r="B150" s="30"/>
      <c r="C150" s="76"/>
      <c r="D150" s="18"/>
      <c r="E150" s="19"/>
      <c r="F150" s="19"/>
      <c r="G150" s="81" t="s">
        <v>132</v>
      </c>
      <c r="H150" s="450">
        <f>SUMIF($G$8:$G$139,"PL",H$8:H$139)</f>
        <v>0</v>
      </c>
      <c r="I150" s="450">
        <f>SUMIF($G$8:$G$139,"PL",I$8:I$139)</f>
        <v>0</v>
      </c>
      <c r="J150" s="450">
        <f>SUMIF($G$8:$G$139,"PL",J$8:J$139)</f>
        <v>0</v>
      </c>
      <c r="K150" s="195"/>
      <c r="L150" s="109"/>
      <c r="M150" s="109"/>
      <c r="N150" s="109"/>
    </row>
    <row r="151" spans="1:15" s="7" customFormat="1" ht="10.5" customHeight="1">
      <c r="A151" s="77"/>
      <c r="B151" s="30"/>
      <c r="C151" s="76"/>
      <c r="D151" s="40"/>
      <c r="E151" s="41"/>
      <c r="F151" s="41"/>
      <c r="G151" s="81" t="s">
        <v>133</v>
      </c>
      <c r="H151" s="450">
        <f>SUMIF($G$8:$G$139,"KL",H$8:H$139)</f>
        <v>0</v>
      </c>
      <c r="I151" s="450">
        <f>SUMIF($G$8:$G$139,"KL",I$8:I$139)</f>
        <v>0</v>
      </c>
      <c r="J151" s="450">
        <f>SUMIF($G$8:$G$139,"KL",J$8:J$139)</f>
        <v>0</v>
      </c>
      <c r="K151" s="318"/>
      <c r="L151" s="314"/>
      <c r="M151" s="314"/>
      <c r="N151" s="314"/>
    </row>
    <row r="152" spans="1:15" s="7" customFormat="1" ht="14.25" customHeight="1">
      <c r="A152" s="36"/>
      <c r="B152" s="1132"/>
      <c r="C152" s="1133"/>
      <c r="D152" s="40"/>
      <c r="E152" s="41"/>
      <c r="F152" s="41"/>
      <c r="G152" s="81" t="s">
        <v>134</v>
      </c>
      <c r="H152" s="450">
        <f>SUMIF($G$8:$G$139,"TPP",H$8:H$139)</f>
        <v>425.20000000000005</v>
      </c>
      <c r="I152" s="450">
        <f>SUMIF($G$8:$G$139,"TPP",I$8:I$139)</f>
        <v>427.75119999999993</v>
      </c>
      <c r="J152" s="450">
        <f>SUMIF($G$8:$G$139,"TPP",J$8:J$139)</f>
        <v>430.31770719999997</v>
      </c>
      <c r="K152" s="195"/>
      <c r="L152" s="109"/>
      <c r="M152" s="109"/>
      <c r="N152" s="109"/>
    </row>
    <row r="153" spans="1:15" s="7" customFormat="1" ht="10.5" customHeight="1">
      <c r="A153" s="116"/>
      <c r="B153" s="13"/>
      <c r="C153" s="13"/>
      <c r="D153" s="13"/>
      <c r="E153" s="13"/>
      <c r="F153" s="13"/>
      <c r="G153" s="83" t="s">
        <v>17</v>
      </c>
      <c r="H153" s="1134">
        <f>SUM(H142:H152)</f>
        <v>17477.600000000002</v>
      </c>
      <c r="I153" s="1134">
        <f>SUM(I142:I152)</f>
        <v>17540.682799999999</v>
      </c>
      <c r="J153" s="1134">
        <f>SUM(J142:J152)</f>
        <v>17168.374496799999</v>
      </c>
      <c r="K153" s="117"/>
      <c r="L153" s="119"/>
      <c r="M153" s="1142"/>
      <c r="N153" s="1142"/>
    </row>
    <row r="154" spans="1:15" s="11" customFormat="1">
      <c r="A154" s="15"/>
      <c r="B154" s="12"/>
      <c r="C154" s="12"/>
      <c r="D154" s="12"/>
      <c r="E154" s="12"/>
      <c r="F154" s="12"/>
      <c r="G154" s="13"/>
      <c r="H154" s="12"/>
      <c r="L154" s="95"/>
      <c r="M154" s="1143"/>
      <c r="N154" s="1143"/>
      <c r="O154" s="14"/>
    </row>
    <row r="155" spans="1:15" s="11" customFormat="1">
      <c r="A155" s="15"/>
      <c r="B155" s="12"/>
      <c r="C155" s="12"/>
      <c r="D155" s="12"/>
      <c r="E155" s="12"/>
      <c r="F155" s="12"/>
      <c r="G155" s="13"/>
      <c r="H155" s="12"/>
      <c r="L155" s="95"/>
      <c r="M155" s="96"/>
      <c r="N155" s="96"/>
    </row>
    <row r="156" spans="1:15" s="11" customFormat="1">
      <c r="A156" s="15"/>
      <c r="B156" s="12"/>
      <c r="C156" s="12"/>
      <c r="D156" s="12"/>
      <c r="E156" s="12"/>
      <c r="F156" s="12"/>
      <c r="G156" s="13"/>
      <c r="H156" s="12"/>
      <c r="L156" s="95"/>
      <c r="M156" s="95"/>
      <c r="N156" s="95"/>
    </row>
    <row r="157" spans="1:15" s="11" customFormat="1">
      <c r="A157" s="15"/>
      <c r="B157" s="12"/>
      <c r="C157" s="12"/>
      <c r="D157" s="12"/>
      <c r="E157" s="12"/>
      <c r="F157" s="12"/>
      <c r="G157" s="13"/>
      <c r="H157" s="12"/>
      <c r="L157" s="95"/>
      <c r="M157" s="95"/>
      <c r="N157" s="95"/>
    </row>
    <row r="158" spans="1:15" s="11" customFormat="1">
      <c r="A158" s="15"/>
      <c r="B158" s="12"/>
      <c r="C158" s="12"/>
      <c r="D158" s="12"/>
      <c r="E158" s="12"/>
      <c r="F158" s="12"/>
      <c r="G158" s="13"/>
      <c r="H158" s="12"/>
      <c r="L158" s="95"/>
      <c r="M158" s="95"/>
      <c r="N158" s="95"/>
    </row>
    <row r="159" spans="1:15" s="11" customFormat="1">
      <c r="A159" s="15"/>
      <c r="B159" s="12"/>
      <c r="C159" s="12"/>
      <c r="D159" s="12"/>
      <c r="E159" s="12"/>
      <c r="F159" s="12"/>
      <c r="G159" s="13"/>
      <c r="H159" s="12"/>
      <c r="L159" s="95"/>
      <c r="M159" s="95"/>
      <c r="N159" s="95"/>
    </row>
  </sheetData>
  <mergeCells count="177">
    <mergeCell ref="A3:J3"/>
    <mergeCell ref="C8:E9"/>
    <mergeCell ref="F8:F9"/>
    <mergeCell ref="K8:K9"/>
    <mergeCell ref="L8:L9"/>
    <mergeCell ref="M8:M9"/>
    <mergeCell ref="N8:N9"/>
    <mergeCell ref="F66:F68"/>
    <mergeCell ref="F125:F126"/>
    <mergeCell ref="B94:B96"/>
    <mergeCell ref="A65:G65"/>
    <mergeCell ref="C27:G27"/>
    <mergeCell ref="C28:E28"/>
    <mergeCell ref="C76:G76"/>
    <mergeCell ref="B72:B76"/>
    <mergeCell ref="B77:G77"/>
    <mergeCell ref="B104:G104"/>
    <mergeCell ref="B101:G101"/>
    <mergeCell ref="C96:G96"/>
    <mergeCell ref="C57:E57"/>
    <mergeCell ref="C58:G58"/>
    <mergeCell ref="C59:E59"/>
    <mergeCell ref="C60:G60"/>
    <mergeCell ref="G83:G84"/>
    <mergeCell ref="A8:A64"/>
    <mergeCell ref="B61:G61"/>
    <mergeCell ref="C62:E62"/>
    <mergeCell ref="C63:G63"/>
    <mergeCell ref="B62:B63"/>
    <mergeCell ref="B64:G64"/>
    <mergeCell ref="G5:G7"/>
    <mergeCell ref="C11:E11"/>
    <mergeCell ref="A5:A7"/>
    <mergeCell ref="B5:B7"/>
    <mergeCell ref="B8:B24"/>
    <mergeCell ref="B25:G25"/>
    <mergeCell ref="C32:E55"/>
    <mergeCell ref="B26:B60"/>
    <mergeCell ref="C26:E26"/>
    <mergeCell ref="C29:G29"/>
    <mergeCell ref="C30:E30"/>
    <mergeCell ref="C31:E31"/>
    <mergeCell ref="C56:G56"/>
    <mergeCell ref="J5:J7"/>
    <mergeCell ref="K5:N5"/>
    <mergeCell ref="K6:K7"/>
    <mergeCell ref="L6:N6"/>
    <mergeCell ref="C22:G22"/>
    <mergeCell ref="C21:E21"/>
    <mergeCell ref="C24:G24"/>
    <mergeCell ref="C10:G10"/>
    <mergeCell ref="C17:E17"/>
    <mergeCell ref="C18:E18"/>
    <mergeCell ref="C19:E19"/>
    <mergeCell ref="C12:G12"/>
    <mergeCell ref="C13:E13"/>
    <mergeCell ref="C20:G20"/>
    <mergeCell ref="C14:G14"/>
    <mergeCell ref="C16:G16"/>
    <mergeCell ref="H5:H7"/>
    <mergeCell ref="I5:I7"/>
    <mergeCell ref="C5:C7"/>
    <mergeCell ref="D5:D7"/>
    <mergeCell ref="E5:E7"/>
    <mergeCell ref="F5:F7"/>
    <mergeCell ref="N72:N73"/>
    <mergeCell ref="M72:M73"/>
    <mergeCell ref="N94:N95"/>
    <mergeCell ref="C66:E69"/>
    <mergeCell ref="C74:G74"/>
    <mergeCell ref="C72:E73"/>
    <mergeCell ref="B71:G71"/>
    <mergeCell ref="B66:B70"/>
    <mergeCell ref="K72:K73"/>
    <mergeCell ref="L72:L73"/>
    <mergeCell ref="C75:E75"/>
    <mergeCell ref="C88:G88"/>
    <mergeCell ref="C90:G90"/>
    <mergeCell ref="C92:G92"/>
    <mergeCell ref="C80:G80"/>
    <mergeCell ref="G78:G79"/>
    <mergeCell ref="F72:F73"/>
    <mergeCell ref="C81:E81"/>
    <mergeCell ref="C82:G82"/>
    <mergeCell ref="G85:G87"/>
    <mergeCell ref="C83:E87"/>
    <mergeCell ref="C91:E91"/>
    <mergeCell ref="H78:H79"/>
    <mergeCell ref="I78:I79"/>
    <mergeCell ref="B103:G103"/>
    <mergeCell ref="B78:B92"/>
    <mergeCell ref="A66:A104"/>
    <mergeCell ref="C70:G70"/>
    <mergeCell ref="C78:E79"/>
    <mergeCell ref="F78:F79"/>
    <mergeCell ref="B106:B117"/>
    <mergeCell ref="B118:G118"/>
    <mergeCell ref="C113:E114"/>
    <mergeCell ref="C115:G115"/>
    <mergeCell ref="C98:E99"/>
    <mergeCell ref="C100:G100"/>
    <mergeCell ref="B98:B100"/>
    <mergeCell ref="F94:F95"/>
    <mergeCell ref="F98:F99"/>
    <mergeCell ref="A105:G105"/>
    <mergeCell ref="C102:E102"/>
    <mergeCell ref="C110:G110"/>
    <mergeCell ref="C108:E109"/>
    <mergeCell ref="F108:F109"/>
    <mergeCell ref="C116:E116"/>
    <mergeCell ref="C111:E111"/>
    <mergeCell ref="C117:G117"/>
    <mergeCell ref="A106:A118"/>
    <mergeCell ref="N113:N114"/>
    <mergeCell ref="F83:F87"/>
    <mergeCell ref="C89:E89"/>
    <mergeCell ref="C121:G121"/>
    <mergeCell ref="B124:G124"/>
    <mergeCell ref="B125:B127"/>
    <mergeCell ref="C120:E120"/>
    <mergeCell ref="C107:G107"/>
    <mergeCell ref="L94:L95"/>
    <mergeCell ref="M94:M95"/>
    <mergeCell ref="L113:L114"/>
    <mergeCell ref="M113:M114"/>
    <mergeCell ref="N108:N109"/>
    <mergeCell ref="L83:L84"/>
    <mergeCell ref="M83:M84"/>
    <mergeCell ref="N83:N84"/>
    <mergeCell ref="L108:L109"/>
    <mergeCell ref="M108:M109"/>
    <mergeCell ref="C125:E126"/>
    <mergeCell ref="B93:G93"/>
    <mergeCell ref="B97:G97"/>
    <mergeCell ref="C94:E95"/>
    <mergeCell ref="G113:G114"/>
    <mergeCell ref="F113:F114"/>
    <mergeCell ref="A140:G140"/>
    <mergeCell ref="C130:E130"/>
    <mergeCell ref="C137:G137"/>
    <mergeCell ref="B130:B137"/>
    <mergeCell ref="B138:G138"/>
    <mergeCell ref="A130:A138"/>
    <mergeCell ref="A139:G139"/>
    <mergeCell ref="C135:E136"/>
    <mergeCell ref="C134:G134"/>
    <mergeCell ref="C131:G131"/>
    <mergeCell ref="F135:F136"/>
    <mergeCell ref="C132:E133"/>
    <mergeCell ref="F132:F133"/>
    <mergeCell ref="G132:G133"/>
    <mergeCell ref="J78:J79"/>
    <mergeCell ref="K113:K114"/>
    <mergeCell ref="I113:I114"/>
    <mergeCell ref="H113:H114"/>
    <mergeCell ref="K83:K84"/>
    <mergeCell ref="H83:H84"/>
    <mergeCell ref="I83:I84"/>
    <mergeCell ref="J83:J84"/>
    <mergeCell ref="H85:H87"/>
    <mergeCell ref="I85:I87"/>
    <mergeCell ref="J85:J87"/>
    <mergeCell ref="K108:K109"/>
    <mergeCell ref="K94:K95"/>
    <mergeCell ref="H132:H133"/>
    <mergeCell ref="I132:I133"/>
    <mergeCell ref="J132:J133"/>
    <mergeCell ref="A129:G129"/>
    <mergeCell ref="A119:G119"/>
    <mergeCell ref="C112:G112"/>
    <mergeCell ref="J113:J114"/>
    <mergeCell ref="B128:G128"/>
    <mergeCell ref="C127:G127"/>
    <mergeCell ref="A120:A128"/>
    <mergeCell ref="B120:B123"/>
    <mergeCell ref="C122:E122"/>
    <mergeCell ref="C123:G123"/>
  </mergeCells>
  <phoneticPr fontId="6" type="noConversion"/>
  <pageMargins left="0.39370078740157483" right="0.39370078740157483" top="0.59055118110236227" bottom="0.39370078740157483" header="0" footer="0"/>
  <pageSetup paperSize="9" scale="93" orientation="landscape" r:id="rId1"/>
  <headerFooter alignWithMargins="0">
    <oddHeader>&amp;C2.1.-&amp;P</oddHeader>
  </headerFooter>
  <rowBreaks count="1" manualBreakCount="1">
    <brk id="130"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2"/>
  <sheetViews>
    <sheetView topLeftCell="A34" zoomScaleNormal="100" zoomScaleSheetLayoutView="100" workbookViewId="0">
      <selection activeCell="A8" sqref="A8:A35"/>
    </sheetView>
  </sheetViews>
  <sheetFormatPr defaultColWidth="7.85546875" defaultRowHeight="12.75"/>
  <cols>
    <col min="1" max="1" width="9.140625" style="39" customWidth="1"/>
    <col min="2" max="2" width="11.140625" style="2" customWidth="1"/>
    <col min="3" max="5" width="8.7109375" style="2" customWidth="1"/>
    <col min="6" max="6" width="11.42578125" style="2" customWidth="1"/>
    <col min="7" max="7" width="8.5703125" style="42" customWidth="1"/>
    <col min="8" max="8" width="8.7109375" style="2" customWidth="1"/>
    <col min="9" max="10" width="8.7109375" style="3" customWidth="1"/>
    <col min="11" max="11" width="33.140625" style="3" customWidth="1"/>
    <col min="12" max="14" width="7.5703125" style="3" customWidth="1"/>
    <col min="15" max="16384" width="7.85546875" style="3"/>
  </cols>
  <sheetData>
    <row r="1" spans="1:14" ht="15.75">
      <c r="A1" s="73" t="s">
        <v>463</v>
      </c>
      <c r="B1" s="70"/>
      <c r="C1" s="70"/>
      <c r="D1" s="70"/>
      <c r="E1" s="70"/>
      <c r="F1" s="70"/>
      <c r="G1" s="70"/>
      <c r="H1" s="70"/>
      <c r="I1" s="70"/>
      <c r="J1" s="70"/>
      <c r="K1" s="3" t="s">
        <v>464</v>
      </c>
      <c r="L1" s="435"/>
      <c r="M1" s="435"/>
      <c r="N1" s="435"/>
    </row>
    <row r="2" spans="1:14" ht="15.75">
      <c r="A2" s="72" t="s">
        <v>142</v>
      </c>
      <c r="B2" s="71"/>
      <c r="C2" s="71"/>
      <c r="D2" s="71"/>
      <c r="E2" s="71"/>
      <c r="F2" s="71"/>
      <c r="G2" s="71"/>
      <c r="H2" s="71"/>
      <c r="I2" s="71"/>
      <c r="J2" s="71"/>
      <c r="K2" s="3" t="s">
        <v>107</v>
      </c>
    </row>
    <row r="3" spans="1:14" ht="35.25" customHeight="1">
      <c r="A3" s="1532" t="s">
        <v>117</v>
      </c>
      <c r="B3" s="1532"/>
      <c r="C3" s="1532"/>
      <c r="D3" s="1532"/>
      <c r="E3" s="1532"/>
      <c r="F3" s="1532"/>
      <c r="G3" s="1532"/>
      <c r="H3" s="1532"/>
      <c r="I3" s="1532"/>
      <c r="J3" s="1532"/>
      <c r="K3" s="1024" t="s">
        <v>828</v>
      </c>
    </row>
    <row r="4" spans="1:14" ht="3.75" customHeight="1" thickBot="1">
      <c r="A4" s="4"/>
      <c r="B4" s="4"/>
      <c r="C4" s="4"/>
      <c r="D4" s="4"/>
      <c r="E4" s="4"/>
      <c r="F4" s="4"/>
      <c r="G4" s="9"/>
      <c r="H4" s="4"/>
      <c r="I4" s="4"/>
      <c r="J4" s="4"/>
    </row>
    <row r="5" spans="1:14" ht="13.5" customHeight="1">
      <c r="A5" s="1274" t="s">
        <v>110</v>
      </c>
      <c r="B5" s="1251" t="s">
        <v>111</v>
      </c>
      <c r="C5" s="1251" t="s">
        <v>112</v>
      </c>
      <c r="D5" s="1277" t="s">
        <v>47</v>
      </c>
      <c r="E5" s="1251" t="s">
        <v>113</v>
      </c>
      <c r="F5" s="1251" t="s">
        <v>14</v>
      </c>
      <c r="G5" s="1257" t="s">
        <v>114</v>
      </c>
      <c r="H5" s="1251" t="s">
        <v>814</v>
      </c>
      <c r="I5" s="1254" t="s">
        <v>815</v>
      </c>
      <c r="J5" s="1248" t="s">
        <v>816</v>
      </c>
      <c r="K5" s="1240" t="s">
        <v>115</v>
      </c>
      <c r="L5" s="1241"/>
      <c r="M5" s="1241"/>
      <c r="N5" s="1242"/>
    </row>
    <row r="6" spans="1:14" ht="13.5" customHeight="1">
      <c r="A6" s="1275"/>
      <c r="B6" s="1252"/>
      <c r="C6" s="1252"/>
      <c r="D6" s="1278"/>
      <c r="E6" s="1252"/>
      <c r="F6" s="1252"/>
      <c r="G6" s="1258"/>
      <c r="H6" s="1252"/>
      <c r="I6" s="1255"/>
      <c r="J6" s="1249"/>
      <c r="K6" s="1243" t="s">
        <v>47</v>
      </c>
      <c r="L6" s="1520" t="s">
        <v>116</v>
      </c>
      <c r="M6" s="1521"/>
      <c r="N6" s="1522"/>
    </row>
    <row r="7" spans="1:14" ht="168" customHeight="1" thickBot="1">
      <c r="A7" s="1276"/>
      <c r="B7" s="1253"/>
      <c r="C7" s="1253"/>
      <c r="D7" s="1279"/>
      <c r="E7" s="1253"/>
      <c r="F7" s="1253"/>
      <c r="G7" s="1259"/>
      <c r="H7" s="1253"/>
      <c r="I7" s="1256"/>
      <c r="J7" s="1250"/>
      <c r="K7" s="1244"/>
      <c r="L7" s="68" t="s">
        <v>138</v>
      </c>
      <c r="M7" s="68" t="s">
        <v>256</v>
      </c>
      <c r="N7" s="69" t="s">
        <v>452</v>
      </c>
    </row>
    <row r="8" spans="1:14" ht="45.75" customHeight="1" thickBot="1">
      <c r="A8" s="1214" t="s">
        <v>588</v>
      </c>
      <c r="B8" s="1171" t="s">
        <v>587</v>
      </c>
      <c r="C8" s="1340" t="s">
        <v>589</v>
      </c>
      <c r="D8" s="1340"/>
      <c r="E8" s="1341"/>
      <c r="F8" s="788" t="s">
        <v>171</v>
      </c>
      <c r="G8" s="540" t="s">
        <v>152</v>
      </c>
      <c r="H8" s="789">
        <v>92.7</v>
      </c>
      <c r="I8" s="789">
        <v>92.7</v>
      </c>
      <c r="J8" s="789">
        <v>92.7</v>
      </c>
      <c r="K8" s="790" t="s">
        <v>368</v>
      </c>
      <c r="L8" s="550">
        <v>17</v>
      </c>
      <c r="M8" s="550">
        <v>15</v>
      </c>
      <c r="N8" s="547">
        <v>13</v>
      </c>
    </row>
    <row r="9" spans="1:14" s="7" customFormat="1" ht="13.5" thickBot="1">
      <c r="A9" s="1215"/>
      <c r="B9" s="1173"/>
      <c r="C9" s="1423" t="s">
        <v>118</v>
      </c>
      <c r="D9" s="1264"/>
      <c r="E9" s="1264"/>
      <c r="F9" s="1264"/>
      <c r="G9" s="1265"/>
      <c r="H9" s="175">
        <f>SUM(H8:H8)</f>
        <v>92.7</v>
      </c>
      <c r="I9" s="161">
        <f>SUM(I8:I8)</f>
        <v>92.7</v>
      </c>
      <c r="J9" s="161">
        <f>SUM(J8:J8)</f>
        <v>92.7</v>
      </c>
      <c r="K9" s="199"/>
      <c r="L9" s="164"/>
      <c r="M9" s="164"/>
      <c r="N9" s="165"/>
    </row>
    <row r="10" spans="1:14" s="7" customFormat="1" ht="13.5" thickBot="1">
      <c r="A10" s="1215"/>
      <c r="B10" s="1185" t="s">
        <v>119</v>
      </c>
      <c r="C10" s="1305"/>
      <c r="D10" s="1305"/>
      <c r="E10" s="1305"/>
      <c r="F10" s="1305"/>
      <c r="G10" s="1453"/>
      <c r="H10" s="175">
        <f>H9</f>
        <v>92.7</v>
      </c>
      <c r="I10" s="161">
        <f>I9</f>
        <v>92.7</v>
      </c>
      <c r="J10" s="161">
        <f>J9</f>
        <v>92.7</v>
      </c>
      <c r="K10" s="199"/>
      <c r="L10" s="164"/>
      <c r="M10" s="164"/>
      <c r="N10" s="165"/>
    </row>
    <row r="11" spans="1:14" s="10" customFormat="1" ht="45">
      <c r="A11" s="1215"/>
      <c r="B11" s="1214" t="s">
        <v>18</v>
      </c>
      <c r="C11" s="1165" t="s">
        <v>590</v>
      </c>
      <c r="D11" s="1340"/>
      <c r="E11" s="1341"/>
      <c r="F11" s="1523" t="s">
        <v>212</v>
      </c>
      <c r="G11" s="1197" t="s">
        <v>121</v>
      </c>
      <c r="H11" s="1525">
        <f>165-93.2-2</f>
        <v>69.8</v>
      </c>
      <c r="I11" s="1199">
        <f>H11*1.006</f>
        <v>70.218800000000002</v>
      </c>
      <c r="J11" s="1199">
        <f>I11*1.006</f>
        <v>70.640112799999997</v>
      </c>
      <c r="K11" s="492" t="s">
        <v>646</v>
      </c>
      <c r="L11" s="795">
        <v>7500</v>
      </c>
      <c r="M11" s="795">
        <v>7600</v>
      </c>
      <c r="N11" s="796">
        <v>7700</v>
      </c>
    </row>
    <row r="12" spans="1:14" s="10" customFormat="1" ht="45">
      <c r="A12" s="1215"/>
      <c r="B12" s="1533"/>
      <c r="C12" s="1299"/>
      <c r="D12" s="1174"/>
      <c r="E12" s="1175"/>
      <c r="F12" s="1524"/>
      <c r="G12" s="1529"/>
      <c r="H12" s="1336"/>
      <c r="I12" s="1336"/>
      <c r="J12" s="1336"/>
      <c r="K12" s="797" t="s">
        <v>647</v>
      </c>
      <c r="L12" s="798">
        <v>150</v>
      </c>
      <c r="M12" s="798">
        <v>155</v>
      </c>
      <c r="N12" s="799">
        <v>160</v>
      </c>
    </row>
    <row r="13" spans="1:14" s="7" customFormat="1" ht="23.25" thickBot="1">
      <c r="A13" s="1215"/>
      <c r="B13" s="1215"/>
      <c r="C13" s="1194"/>
      <c r="D13" s="1195"/>
      <c r="E13" s="1196"/>
      <c r="F13" s="1163"/>
      <c r="G13" s="498" t="s">
        <v>122</v>
      </c>
      <c r="H13" s="511">
        <v>2</v>
      </c>
      <c r="I13" s="511">
        <f>H13*1.006</f>
        <v>2.012</v>
      </c>
      <c r="J13" s="511">
        <f>I13*1.006</f>
        <v>2.0240719999999999</v>
      </c>
      <c r="K13" s="800" t="s">
        <v>648</v>
      </c>
      <c r="L13" s="801">
        <v>79</v>
      </c>
      <c r="M13" s="801">
        <v>79</v>
      </c>
      <c r="N13" s="802">
        <v>79</v>
      </c>
    </row>
    <row r="14" spans="1:14" s="7" customFormat="1" ht="13.5" thickBot="1">
      <c r="A14" s="1215"/>
      <c r="B14" s="1215"/>
      <c r="C14" s="1185" t="s">
        <v>118</v>
      </c>
      <c r="D14" s="1211"/>
      <c r="E14" s="1211"/>
      <c r="F14" s="1211"/>
      <c r="G14" s="1212"/>
      <c r="H14" s="766">
        <f>SUM(H11:H13)</f>
        <v>71.8</v>
      </c>
      <c r="I14" s="767">
        <f>SUM(I11:I13)</f>
        <v>72.230800000000002</v>
      </c>
      <c r="J14" s="767">
        <f>SUM(J11:J13)</f>
        <v>72.664184800000001</v>
      </c>
      <c r="K14" s="139"/>
      <c r="L14" s="139"/>
      <c r="M14" s="139"/>
      <c r="N14" s="200"/>
    </row>
    <row r="15" spans="1:14" s="7" customFormat="1" ht="44.25" customHeight="1">
      <c r="A15" s="1215"/>
      <c r="B15" s="1215"/>
      <c r="C15" s="1340" t="s">
        <v>222</v>
      </c>
      <c r="D15" s="1340"/>
      <c r="E15" s="1341"/>
      <c r="F15" s="1523" t="s">
        <v>212</v>
      </c>
      <c r="G15" s="1197" t="s">
        <v>135</v>
      </c>
      <c r="H15" s="1525">
        <v>93.2</v>
      </c>
      <c r="I15" s="1374">
        <f>H15*1.006</f>
        <v>93.759200000000007</v>
      </c>
      <c r="J15" s="1374">
        <f>H15*1.006</f>
        <v>93.759200000000007</v>
      </c>
      <c r="K15" s="492" t="s">
        <v>646</v>
      </c>
      <c r="L15" s="461">
        <v>38000</v>
      </c>
      <c r="M15" s="461">
        <v>39000</v>
      </c>
      <c r="N15" s="462">
        <v>40000</v>
      </c>
    </row>
    <row r="16" spans="1:14" s="436" customFormat="1" ht="47.25" customHeight="1">
      <c r="A16" s="1215"/>
      <c r="B16" s="1215"/>
      <c r="C16" s="1174"/>
      <c r="D16" s="1174"/>
      <c r="E16" s="1175"/>
      <c r="F16" s="1528"/>
      <c r="G16" s="1529"/>
      <c r="H16" s="1336"/>
      <c r="I16" s="1386"/>
      <c r="J16" s="1386"/>
      <c r="K16" s="507" t="s">
        <v>647</v>
      </c>
      <c r="L16" s="475">
        <v>600</v>
      </c>
      <c r="M16" s="475">
        <v>650</v>
      </c>
      <c r="N16" s="764">
        <v>700</v>
      </c>
    </row>
    <row r="17" spans="1:15" s="7" customFormat="1" ht="10.5" customHeight="1">
      <c r="A17" s="1215"/>
      <c r="B17" s="1215"/>
      <c r="C17" s="1174"/>
      <c r="D17" s="1174"/>
      <c r="E17" s="1175"/>
      <c r="F17" s="6" t="s">
        <v>194</v>
      </c>
      <c r="G17" s="321" t="s">
        <v>135</v>
      </c>
      <c r="H17" s="791">
        <v>3.1</v>
      </c>
      <c r="I17" s="564">
        <f t="shared" ref="I17:I22" si="0">H17*1.006</f>
        <v>3.1186000000000003</v>
      </c>
      <c r="J17" s="564">
        <f t="shared" ref="J17:J22" si="1">H17*1.006</f>
        <v>3.1186000000000003</v>
      </c>
      <c r="K17" s="534" t="s">
        <v>237</v>
      </c>
      <c r="L17" s="467">
        <v>210</v>
      </c>
      <c r="M17" s="467">
        <v>230</v>
      </c>
      <c r="N17" s="468">
        <v>230</v>
      </c>
    </row>
    <row r="18" spans="1:15" s="7" customFormat="1" ht="10.5" customHeight="1">
      <c r="A18" s="1215"/>
      <c r="B18" s="1215"/>
      <c r="C18" s="1236"/>
      <c r="D18" s="1236"/>
      <c r="E18" s="1237"/>
      <c r="F18" s="6" t="s">
        <v>195</v>
      </c>
      <c r="G18" s="321" t="s">
        <v>135</v>
      </c>
      <c r="H18" s="791">
        <v>2.9</v>
      </c>
      <c r="I18" s="564">
        <f t="shared" si="0"/>
        <v>2.9173999999999998</v>
      </c>
      <c r="J18" s="564">
        <f t="shared" si="1"/>
        <v>2.9173999999999998</v>
      </c>
      <c r="K18" s="534" t="s">
        <v>237</v>
      </c>
      <c r="L18" s="475">
        <v>247</v>
      </c>
      <c r="M18" s="475">
        <v>243</v>
      </c>
      <c r="N18" s="764">
        <v>240</v>
      </c>
    </row>
    <row r="19" spans="1:15" s="16" customFormat="1" ht="10.5" customHeight="1">
      <c r="A19" s="1215"/>
      <c r="B19" s="1215"/>
      <c r="C19" s="1236"/>
      <c r="D19" s="1236"/>
      <c r="E19" s="1237"/>
      <c r="F19" s="6" t="s">
        <v>177</v>
      </c>
      <c r="G19" s="321" t="s">
        <v>135</v>
      </c>
      <c r="H19" s="791">
        <v>2.8</v>
      </c>
      <c r="I19" s="564">
        <f t="shared" si="0"/>
        <v>2.8167999999999997</v>
      </c>
      <c r="J19" s="564">
        <f t="shared" si="1"/>
        <v>2.8167999999999997</v>
      </c>
      <c r="K19" s="534" t="s">
        <v>237</v>
      </c>
      <c r="L19" s="475">
        <v>225</v>
      </c>
      <c r="M19" s="475">
        <v>220</v>
      </c>
      <c r="N19" s="764">
        <v>220</v>
      </c>
    </row>
    <row r="20" spans="1:15" s="16" customFormat="1" ht="10.5" customHeight="1">
      <c r="A20" s="1215"/>
      <c r="B20" s="1215"/>
      <c r="C20" s="1236"/>
      <c r="D20" s="1236"/>
      <c r="E20" s="1237"/>
      <c r="F20" s="6" t="s">
        <v>176</v>
      </c>
      <c r="G20" s="321" t="s">
        <v>135</v>
      </c>
      <c r="H20" s="791">
        <v>2.8</v>
      </c>
      <c r="I20" s="564">
        <f t="shared" si="0"/>
        <v>2.8167999999999997</v>
      </c>
      <c r="J20" s="564">
        <f t="shared" si="1"/>
        <v>2.8167999999999997</v>
      </c>
      <c r="K20" s="534" t="s">
        <v>237</v>
      </c>
      <c r="L20" s="475">
        <v>249</v>
      </c>
      <c r="M20" s="475">
        <v>249</v>
      </c>
      <c r="N20" s="764">
        <v>249</v>
      </c>
    </row>
    <row r="21" spans="1:15" s="7" customFormat="1" ht="10.5" customHeight="1">
      <c r="A21" s="1215"/>
      <c r="B21" s="1215"/>
      <c r="C21" s="1236"/>
      <c r="D21" s="1236"/>
      <c r="E21" s="1237"/>
      <c r="F21" s="6" t="s">
        <v>196</v>
      </c>
      <c r="G21" s="321" t="s">
        <v>135</v>
      </c>
      <c r="H21" s="791">
        <v>2.8</v>
      </c>
      <c r="I21" s="564">
        <f t="shared" si="0"/>
        <v>2.8167999999999997</v>
      </c>
      <c r="J21" s="564">
        <f t="shared" si="1"/>
        <v>2.8167999999999997</v>
      </c>
      <c r="K21" s="564" t="s">
        <v>237</v>
      </c>
      <c r="L21" s="475">
        <v>218</v>
      </c>
      <c r="M21" s="475">
        <v>220</v>
      </c>
      <c r="N21" s="764">
        <v>220</v>
      </c>
    </row>
    <row r="22" spans="1:15" s="7" customFormat="1" ht="10.5" customHeight="1" thickBot="1">
      <c r="A22" s="1215"/>
      <c r="B22" s="1215"/>
      <c r="C22" s="1195"/>
      <c r="D22" s="1195"/>
      <c r="E22" s="1196"/>
      <c r="F22" s="411" t="s">
        <v>175</v>
      </c>
      <c r="G22" s="498" t="s">
        <v>135</v>
      </c>
      <c r="H22" s="792">
        <v>2.9</v>
      </c>
      <c r="I22" s="512">
        <f t="shared" si="0"/>
        <v>2.9173999999999998</v>
      </c>
      <c r="J22" s="512">
        <f t="shared" si="1"/>
        <v>2.9173999999999998</v>
      </c>
      <c r="K22" s="512" t="s">
        <v>237</v>
      </c>
      <c r="L22" s="475">
        <v>238</v>
      </c>
      <c r="M22" s="475">
        <v>243</v>
      </c>
      <c r="N22" s="764">
        <v>240</v>
      </c>
    </row>
    <row r="23" spans="1:15" s="7" customFormat="1" ht="13.5" thickBot="1">
      <c r="A23" s="1215"/>
      <c r="B23" s="1215"/>
      <c r="C23" s="1423" t="s">
        <v>118</v>
      </c>
      <c r="D23" s="1319"/>
      <c r="E23" s="1319"/>
      <c r="F23" s="1319"/>
      <c r="G23" s="1530"/>
      <c r="H23" s="793">
        <f>SUM(H15:H22)</f>
        <v>110.5</v>
      </c>
      <c r="I23" s="794">
        <f>SUM(I15:I22)</f>
        <v>111.16300000000001</v>
      </c>
      <c r="J23" s="794">
        <f>SUM(J15:J22)</f>
        <v>111.16300000000001</v>
      </c>
      <c r="K23" s="379"/>
      <c r="L23" s="379"/>
      <c r="M23" s="379"/>
      <c r="N23" s="380"/>
    </row>
    <row r="24" spans="1:15" s="7" customFormat="1" ht="36" customHeight="1">
      <c r="A24" s="1215"/>
      <c r="B24" s="1215"/>
      <c r="C24" s="1165" t="s">
        <v>591</v>
      </c>
      <c r="D24" s="1340"/>
      <c r="E24" s="1340"/>
      <c r="F24" s="1507" t="s">
        <v>171</v>
      </c>
      <c r="G24" s="832" t="s">
        <v>121</v>
      </c>
      <c r="H24" s="854">
        <v>10</v>
      </c>
      <c r="I24" s="555">
        <v>18</v>
      </c>
      <c r="J24" s="555">
        <v>0</v>
      </c>
      <c r="K24" s="1541" t="s">
        <v>594</v>
      </c>
      <c r="L24" s="1543"/>
      <c r="M24" s="1544">
        <v>34800</v>
      </c>
      <c r="N24" s="1534"/>
    </row>
    <row r="25" spans="1:15" s="405" customFormat="1" ht="25.5" customHeight="1">
      <c r="A25" s="1215"/>
      <c r="B25" s="1215"/>
      <c r="C25" s="1299"/>
      <c r="D25" s="1174"/>
      <c r="E25" s="1174"/>
      <c r="F25" s="1531"/>
      <c r="G25" s="862" t="s">
        <v>120</v>
      </c>
      <c r="H25" s="852">
        <v>10</v>
      </c>
      <c r="I25" s="553">
        <v>18</v>
      </c>
      <c r="J25" s="866">
        <v>0</v>
      </c>
      <c r="K25" s="1542"/>
      <c r="L25" s="1353"/>
      <c r="M25" s="1353"/>
      <c r="N25" s="1535"/>
    </row>
    <row r="26" spans="1:15" s="7" customFormat="1" ht="34.5" customHeight="1" thickBot="1">
      <c r="A26" s="1215"/>
      <c r="B26" s="1215"/>
      <c r="C26" s="1194"/>
      <c r="D26" s="1195"/>
      <c r="E26" s="1195"/>
      <c r="F26" s="1345"/>
      <c r="G26" s="1101" t="s">
        <v>143</v>
      </c>
      <c r="H26" s="865">
        <v>50</v>
      </c>
      <c r="I26" s="808">
        <v>274</v>
      </c>
      <c r="J26" s="852">
        <v>0</v>
      </c>
      <c r="K26" s="469" t="s">
        <v>595</v>
      </c>
      <c r="L26" s="809">
        <v>30</v>
      </c>
      <c r="M26" s="809">
        <v>100</v>
      </c>
      <c r="N26" s="810"/>
    </row>
    <row r="27" spans="1:15" s="7" customFormat="1" ht="13.5" thickBot="1">
      <c r="A27" s="1215"/>
      <c r="B27" s="1215"/>
      <c r="C27" s="1444" t="s">
        <v>118</v>
      </c>
      <c r="D27" s="1330"/>
      <c r="E27" s="1330"/>
      <c r="F27" s="1330"/>
      <c r="G27" s="1330"/>
      <c r="H27" s="188">
        <f>H24+H25+H26</f>
        <v>70</v>
      </c>
      <c r="I27" s="189">
        <f>I24+I25+I26</f>
        <v>310</v>
      </c>
      <c r="J27" s="189">
        <f>J24+J25+J26</f>
        <v>0</v>
      </c>
      <c r="K27" s="373"/>
      <c r="L27" s="139"/>
      <c r="M27" s="139"/>
      <c r="N27" s="200"/>
    </row>
    <row r="28" spans="1:15" s="405" customFormat="1" ht="38.25" customHeight="1">
      <c r="A28" s="1215"/>
      <c r="B28" s="1215"/>
      <c r="C28" s="1165" t="s">
        <v>593</v>
      </c>
      <c r="D28" s="1340"/>
      <c r="E28" s="1340"/>
      <c r="F28" s="1507" t="s">
        <v>171</v>
      </c>
      <c r="G28" s="811" t="s">
        <v>121</v>
      </c>
      <c r="H28" s="859">
        <v>0.6</v>
      </c>
      <c r="I28" s="558">
        <v>0.6</v>
      </c>
      <c r="J28" s="558">
        <v>0.6</v>
      </c>
      <c r="K28" s="1536" t="s">
        <v>597</v>
      </c>
      <c r="L28" s="1538">
        <v>27</v>
      </c>
      <c r="M28" s="1538">
        <v>15</v>
      </c>
      <c r="N28" s="1539">
        <v>15</v>
      </c>
      <c r="O28" s="415"/>
    </row>
    <row r="29" spans="1:15" s="405" customFormat="1" ht="20.25" customHeight="1">
      <c r="A29" s="1215"/>
      <c r="B29" s="1215"/>
      <c r="C29" s="1299"/>
      <c r="D29" s="1174"/>
      <c r="E29" s="1174"/>
      <c r="F29" s="1508"/>
      <c r="G29" s="815" t="s">
        <v>120</v>
      </c>
      <c r="H29" s="852">
        <v>0.6</v>
      </c>
      <c r="I29" s="553">
        <v>0.6</v>
      </c>
      <c r="J29" s="553">
        <v>0.6</v>
      </c>
      <c r="K29" s="1537"/>
      <c r="L29" s="1386">
        <v>20</v>
      </c>
      <c r="M29" s="1386">
        <v>23</v>
      </c>
      <c r="N29" s="1540">
        <v>25</v>
      </c>
    </row>
    <row r="30" spans="1:15" s="405" customFormat="1" ht="18" customHeight="1" thickBot="1">
      <c r="A30" s="1215"/>
      <c r="B30" s="1215"/>
      <c r="C30" s="1194"/>
      <c r="D30" s="1195"/>
      <c r="E30" s="1195"/>
      <c r="F30" s="1345"/>
      <c r="G30" s="1102" t="s">
        <v>143</v>
      </c>
      <c r="H30" s="865">
        <v>6.6</v>
      </c>
      <c r="I30" s="563">
        <v>6.6</v>
      </c>
      <c r="J30" s="563">
        <v>6.6</v>
      </c>
      <c r="K30" s="469" t="s">
        <v>595</v>
      </c>
      <c r="L30" s="809">
        <v>30</v>
      </c>
      <c r="M30" s="809">
        <v>60</v>
      </c>
      <c r="N30" s="781">
        <v>100</v>
      </c>
    </row>
    <row r="31" spans="1:15" s="405" customFormat="1" ht="13.5" thickBot="1">
      <c r="A31" s="1215"/>
      <c r="B31" s="1215"/>
      <c r="C31" s="1159" t="s">
        <v>118</v>
      </c>
      <c r="D31" s="1423"/>
      <c r="E31" s="1423"/>
      <c r="F31" s="1423"/>
      <c r="G31" s="1423"/>
      <c r="H31" s="816">
        <f>H28+H30+H29</f>
        <v>7.7999999999999989</v>
      </c>
      <c r="I31" s="817">
        <f>I28+I30+I29</f>
        <v>7.7999999999999989</v>
      </c>
      <c r="J31" s="817">
        <f>J28+J30+J29</f>
        <v>7.7999999999999989</v>
      </c>
      <c r="K31" s="152"/>
      <c r="L31" s="139"/>
      <c r="M31" s="139"/>
      <c r="N31" s="200"/>
    </row>
    <row r="32" spans="1:15" s="405" customFormat="1" ht="46.5" customHeight="1">
      <c r="A32" s="1215"/>
      <c r="B32" s="1215"/>
      <c r="C32" s="1165" t="s">
        <v>592</v>
      </c>
      <c r="D32" s="1340"/>
      <c r="E32" s="1340"/>
      <c r="F32" s="831" t="s">
        <v>171</v>
      </c>
      <c r="G32" s="811" t="s">
        <v>121</v>
      </c>
      <c r="H32" s="859">
        <v>0.5</v>
      </c>
      <c r="I32" s="558">
        <v>14.5</v>
      </c>
      <c r="J32" s="558">
        <v>8.5</v>
      </c>
      <c r="K32" s="507" t="s">
        <v>598</v>
      </c>
      <c r="L32" s="1144">
        <v>100</v>
      </c>
      <c r="M32" s="507">
        <v>1000</v>
      </c>
      <c r="N32" s="885">
        <v>488</v>
      </c>
    </row>
    <row r="33" spans="1:14" s="405" customFormat="1" ht="22.5" customHeight="1" thickBot="1">
      <c r="A33" s="1215"/>
      <c r="B33" s="1215"/>
      <c r="C33" s="1194"/>
      <c r="D33" s="1195"/>
      <c r="E33" s="1195"/>
      <c r="F33" s="1074" t="s">
        <v>171</v>
      </c>
      <c r="G33" s="1102" t="s">
        <v>143</v>
      </c>
      <c r="H33" s="865">
        <v>2.8</v>
      </c>
      <c r="I33" s="563">
        <v>82</v>
      </c>
      <c r="J33" s="563">
        <v>48.1</v>
      </c>
      <c r="K33" s="469" t="s">
        <v>595</v>
      </c>
      <c r="L33" s="809">
        <v>20</v>
      </c>
      <c r="M33" s="809">
        <v>60</v>
      </c>
      <c r="N33" s="781">
        <v>100</v>
      </c>
    </row>
    <row r="34" spans="1:14" s="405" customFormat="1" ht="13.5" thickBot="1">
      <c r="A34" s="1215"/>
      <c r="B34" s="1216"/>
      <c r="C34" s="1185" t="s">
        <v>118</v>
      </c>
      <c r="D34" s="1154"/>
      <c r="E34" s="1154"/>
      <c r="F34" s="1154"/>
      <c r="G34" s="1154"/>
      <c r="H34" s="766">
        <f>H32+H33</f>
        <v>3.3</v>
      </c>
      <c r="I34" s="767">
        <f>I32+I33</f>
        <v>96.5</v>
      </c>
      <c r="J34" s="818">
        <f>J32+J33</f>
        <v>56.6</v>
      </c>
      <c r="K34" s="373"/>
      <c r="L34" s="139"/>
      <c r="M34" s="139"/>
      <c r="N34" s="200"/>
    </row>
    <row r="35" spans="1:14" s="7" customFormat="1" ht="13.5" thickBot="1">
      <c r="A35" s="1216"/>
      <c r="B35" s="1159" t="s">
        <v>119</v>
      </c>
      <c r="C35" s="1319"/>
      <c r="D35" s="1319"/>
      <c r="E35" s="1319"/>
      <c r="F35" s="1319"/>
      <c r="G35" s="1319"/>
      <c r="H35" s="816">
        <f>H23+H14+H27+H31+H34</f>
        <v>263.40000000000003</v>
      </c>
      <c r="I35" s="817">
        <f>I23+I14+I27+I31+I34</f>
        <v>597.69380000000001</v>
      </c>
      <c r="J35" s="819">
        <f>J23+J14+J27+J31+J34</f>
        <v>248.2271848</v>
      </c>
      <c r="K35" s="416"/>
      <c r="L35" s="381"/>
      <c r="M35" s="381"/>
      <c r="N35" s="382"/>
    </row>
    <row r="36" spans="1:14" s="7" customFormat="1" ht="13.5" thickBot="1">
      <c r="A36" s="1297" t="s">
        <v>303</v>
      </c>
      <c r="B36" s="1221"/>
      <c r="C36" s="1221"/>
      <c r="D36" s="1221"/>
      <c r="E36" s="1221"/>
      <c r="F36" s="1221"/>
      <c r="G36" s="1221"/>
      <c r="H36" s="816">
        <f>H10+H35</f>
        <v>356.1</v>
      </c>
      <c r="I36" s="817">
        <f>I10+I35</f>
        <v>690.39380000000006</v>
      </c>
      <c r="J36" s="819">
        <f>J10+J35</f>
        <v>340.92718480000002</v>
      </c>
      <c r="K36" s="416"/>
      <c r="L36" s="381"/>
      <c r="M36" s="381"/>
      <c r="N36" s="382"/>
    </row>
    <row r="37" spans="1:14" s="405" customFormat="1" ht="99.75" customHeight="1" thickBot="1">
      <c r="A37" s="1171" t="s">
        <v>605</v>
      </c>
      <c r="B37" s="1171" t="s">
        <v>606</v>
      </c>
      <c r="C37" s="1395" t="s">
        <v>818</v>
      </c>
      <c r="D37" s="1526"/>
      <c r="E37" s="1527"/>
      <c r="F37" s="820" t="s">
        <v>171</v>
      </c>
      <c r="G37" s="821" t="s">
        <v>121</v>
      </c>
      <c r="H37" s="822">
        <f>20+15.3</f>
        <v>35.299999999999997</v>
      </c>
      <c r="I37" s="822">
        <v>20</v>
      </c>
      <c r="J37" s="822">
        <v>20</v>
      </c>
      <c r="K37" s="823" t="s">
        <v>819</v>
      </c>
      <c r="L37" s="824">
        <v>1</v>
      </c>
      <c r="M37" s="824">
        <v>1</v>
      </c>
      <c r="N37" s="825">
        <v>1</v>
      </c>
    </row>
    <row r="38" spans="1:14" s="405" customFormat="1" ht="13.5" thickBot="1">
      <c r="A38" s="1172"/>
      <c r="B38" s="1172"/>
      <c r="C38" s="1153" t="s">
        <v>118</v>
      </c>
      <c r="D38" s="1154"/>
      <c r="E38" s="1154"/>
      <c r="F38" s="1154"/>
      <c r="G38" s="1155"/>
      <c r="H38" s="755">
        <f>SUM(H37:H37)</f>
        <v>35.299999999999997</v>
      </c>
      <c r="I38" s="756">
        <f>SUM(I37:I37)</f>
        <v>20</v>
      </c>
      <c r="J38" s="756">
        <f>SUM(J37:J37)</f>
        <v>20</v>
      </c>
      <c r="K38" s="174"/>
      <c r="L38" s="174"/>
      <c r="M38" s="174"/>
      <c r="N38" s="421"/>
    </row>
    <row r="39" spans="1:14" s="405" customFormat="1" ht="13.5" thickBot="1">
      <c r="A39" s="1172"/>
      <c r="B39" s="1153" t="s">
        <v>119</v>
      </c>
      <c r="C39" s="1154"/>
      <c r="D39" s="1154"/>
      <c r="E39" s="1154"/>
      <c r="F39" s="1154"/>
      <c r="G39" s="1154"/>
      <c r="H39" s="766">
        <f>H38</f>
        <v>35.299999999999997</v>
      </c>
      <c r="I39" s="767">
        <f t="shared" ref="I39:J40" si="2">I38</f>
        <v>20</v>
      </c>
      <c r="J39" s="767">
        <f t="shared" si="2"/>
        <v>20</v>
      </c>
      <c r="K39" s="381"/>
      <c r="L39" s="381"/>
      <c r="M39" s="381"/>
      <c r="N39" s="382"/>
    </row>
    <row r="40" spans="1:14" s="405" customFormat="1" ht="11.25" customHeight="1" thickBot="1">
      <c r="A40" s="1297" t="s">
        <v>303</v>
      </c>
      <c r="B40" s="1221"/>
      <c r="C40" s="1221"/>
      <c r="D40" s="1221"/>
      <c r="E40" s="1221"/>
      <c r="F40" s="1221"/>
      <c r="G40" s="1222"/>
      <c r="H40" s="826">
        <f>H39</f>
        <v>35.299999999999997</v>
      </c>
      <c r="I40" s="826">
        <f t="shared" si="2"/>
        <v>20</v>
      </c>
      <c r="J40" s="826">
        <f t="shared" si="2"/>
        <v>20</v>
      </c>
      <c r="K40" s="148"/>
      <c r="L40" s="148"/>
      <c r="M40" s="148"/>
      <c r="N40" s="201"/>
    </row>
    <row r="41" spans="1:14" s="7" customFormat="1" ht="13.5" customHeight="1" thickBot="1">
      <c r="A41" s="1203" t="s">
        <v>17</v>
      </c>
      <c r="B41" s="1370"/>
      <c r="C41" s="1370"/>
      <c r="D41" s="1370"/>
      <c r="E41" s="1370"/>
      <c r="F41" s="1370"/>
      <c r="G41" s="1371"/>
      <c r="H41" s="175">
        <f>H36+H40</f>
        <v>391.40000000000003</v>
      </c>
      <c r="I41" s="161">
        <f t="shared" ref="I41:J41" si="3">I36+I40</f>
        <v>710.39380000000006</v>
      </c>
      <c r="J41" s="827">
        <f t="shared" si="3"/>
        <v>360.92718480000002</v>
      </c>
      <c r="K41" s="417"/>
      <c r="L41" s="288"/>
      <c r="M41" s="288"/>
      <c r="N41" s="287"/>
    </row>
    <row r="42" spans="1:14" s="7" customFormat="1" ht="10.5" customHeight="1">
      <c r="A42" s="86"/>
      <c r="B42" s="104"/>
      <c r="C42" s="104"/>
      <c r="D42" s="1130"/>
      <c r="E42" s="32"/>
      <c r="F42" s="32" t="s">
        <v>11</v>
      </c>
      <c r="G42" s="32"/>
      <c r="H42" s="100"/>
      <c r="I42" s="101"/>
      <c r="J42" s="101"/>
      <c r="K42" s="56"/>
      <c r="L42" s="56"/>
      <c r="M42" s="56"/>
      <c r="N42" s="56"/>
    </row>
    <row r="43" spans="1:14" s="10" customFormat="1" ht="10.5" customHeight="1">
      <c r="A43" s="36"/>
      <c r="B43" s="29"/>
      <c r="C43" s="87"/>
      <c r="D43" s="40"/>
      <c r="E43" s="41"/>
      <c r="F43" s="41"/>
      <c r="G43" s="81" t="s">
        <v>124</v>
      </c>
      <c r="H43" s="450">
        <f>SUMIF($G$8:$G$40,"SB",H$8:H$40)</f>
        <v>116.19999999999999</v>
      </c>
      <c r="I43" s="450">
        <f t="shared" ref="I43:J43" si="4">SUMIF($G$8:$G$40,"SB",I$8:I$40)</f>
        <v>123.3188</v>
      </c>
      <c r="J43" s="450">
        <f t="shared" si="4"/>
        <v>99.740112799999991</v>
      </c>
      <c r="K43" s="318"/>
      <c r="L43" s="318"/>
      <c r="M43" s="318"/>
      <c r="N43" s="318"/>
    </row>
    <row r="44" spans="1:14" s="10" customFormat="1" ht="10.5" customHeight="1">
      <c r="A44" s="36"/>
      <c r="B44" s="127"/>
      <c r="C44" s="55"/>
      <c r="D44" s="40"/>
      <c r="E44" s="41"/>
      <c r="F44" s="41"/>
      <c r="G44" s="81" t="s">
        <v>125</v>
      </c>
      <c r="H44" s="450">
        <f>SUMIF($G$8:$G$36,"VB-STD",H$8:H$36)</f>
        <v>110.5</v>
      </c>
      <c r="I44" s="450">
        <f>SUMIF($G$8:$G$36,"VB-STD",I$8:I$36)</f>
        <v>111.16300000000001</v>
      </c>
      <c r="J44" s="450">
        <f>SUMIF($G$8:$G$36,"VB-STD",J$8:J$36)</f>
        <v>111.16300000000001</v>
      </c>
      <c r="K44" s="195"/>
      <c r="L44" s="195"/>
      <c r="M44" s="195"/>
      <c r="N44" s="195"/>
    </row>
    <row r="45" spans="1:14" s="10" customFormat="1" ht="10.5" customHeight="1">
      <c r="A45" s="36"/>
      <c r="B45" s="127"/>
      <c r="C45" s="55"/>
      <c r="D45" s="18"/>
      <c r="E45" s="19"/>
      <c r="F45" s="19"/>
      <c r="G45" s="81" t="s">
        <v>126</v>
      </c>
      <c r="H45" s="450">
        <f>SUMIF($G$8:$G$36,"ES",H$8:H$36)</f>
        <v>59.4</v>
      </c>
      <c r="I45" s="450">
        <f>SUMIF($G$8:$G$36,"ES",I$8:I$36)</f>
        <v>362.6</v>
      </c>
      <c r="J45" s="450">
        <f>SUMIF($G$8:$G$36,"ES",J$8:J$36)</f>
        <v>54.7</v>
      </c>
      <c r="K45" s="195"/>
      <c r="L45" s="195"/>
      <c r="M45" s="195"/>
      <c r="N45" s="195"/>
    </row>
    <row r="46" spans="1:14" s="7" customFormat="1" ht="10.5" customHeight="1">
      <c r="A46" s="36"/>
      <c r="B46" s="127"/>
      <c r="C46" s="55"/>
      <c r="D46" s="18"/>
      <c r="E46" s="19"/>
      <c r="F46" s="19"/>
      <c r="G46" s="81" t="s">
        <v>127</v>
      </c>
      <c r="H46" s="450">
        <f>SUMIF($G$8:$G$36,"SAARS",H$8:H$36)</f>
        <v>92.7</v>
      </c>
      <c r="I46" s="450">
        <f>SUMIF($G$8:$G$36,"SAARS",I$8:I$36)</f>
        <v>92.7</v>
      </c>
      <c r="J46" s="450">
        <f>SUMIF($G$8:$G$36,"SAARS",J$8:J$36)</f>
        <v>92.7</v>
      </c>
      <c r="K46" s="195"/>
      <c r="L46" s="195"/>
      <c r="M46" s="195"/>
      <c r="N46" s="195"/>
    </row>
    <row r="47" spans="1:14" s="7" customFormat="1" ht="10.5" customHeight="1">
      <c r="A47" s="36"/>
      <c r="B47" s="127"/>
      <c r="C47" s="55"/>
      <c r="D47" s="18"/>
      <c r="E47" s="19"/>
      <c r="F47" s="19"/>
      <c r="G47" s="81" t="s">
        <v>128</v>
      </c>
      <c r="H47" s="450">
        <f>SUMIF($G$8:$G$36,"KPPP",H$8:H$36)</f>
        <v>0</v>
      </c>
      <c r="I47" s="450">
        <f>SUMIF($G$8:$G$36,"KPPP",I$8:I$36)</f>
        <v>0</v>
      </c>
      <c r="J47" s="450">
        <f>SUMIF($G$8:$G$36,"KPPP",J$8:J$36)</f>
        <v>0</v>
      </c>
      <c r="K47" s="195"/>
      <c r="L47" s="195"/>
      <c r="M47" s="195"/>
      <c r="N47" s="195"/>
    </row>
    <row r="48" spans="1:14" s="7" customFormat="1" ht="10.5" customHeight="1">
      <c r="A48" s="36"/>
      <c r="B48" s="127"/>
      <c r="C48" s="55"/>
      <c r="D48" s="18"/>
      <c r="E48" s="19"/>
      <c r="F48" s="19"/>
      <c r="G48" s="82" t="s">
        <v>129</v>
      </c>
      <c r="H48" s="450">
        <f>SUMIF($G$8:$G$36,"UF",H$8:H$36)</f>
        <v>0</v>
      </c>
      <c r="I48" s="450">
        <f>SUMIF($G$8:$G$36,"UF",I$8:I$36)</f>
        <v>0</v>
      </c>
      <c r="J48" s="450">
        <f>SUMIF($G$8:$G$36,"UF",J$8:J$36)</f>
        <v>0</v>
      </c>
      <c r="K48" s="195"/>
      <c r="L48" s="195"/>
      <c r="M48" s="195"/>
      <c r="N48" s="195"/>
    </row>
    <row r="49" spans="1:15" s="7" customFormat="1" ht="10.5" customHeight="1">
      <c r="A49" s="36"/>
      <c r="B49" s="127"/>
      <c r="C49" s="55"/>
      <c r="D49" s="18"/>
      <c r="E49" s="19"/>
      <c r="F49" s="19"/>
      <c r="G49" s="81" t="s">
        <v>130</v>
      </c>
      <c r="H49" s="450">
        <f>SUMIF($G$8:$G$36,"VB",H$8:H$36)</f>
        <v>10.6</v>
      </c>
      <c r="I49" s="450">
        <f>SUMIF($G$8:$G$36,"VB",I$8:I$36)</f>
        <v>18.600000000000001</v>
      </c>
      <c r="J49" s="450">
        <f>SUMIF($G$8:$G$36,"VB",J$8:J$36)</f>
        <v>0.6</v>
      </c>
      <c r="K49" s="195"/>
      <c r="L49" s="195"/>
      <c r="M49" s="195"/>
      <c r="N49" s="195"/>
    </row>
    <row r="50" spans="1:15" s="7" customFormat="1" ht="10.5" customHeight="1">
      <c r="A50" s="36"/>
      <c r="B50" s="127"/>
      <c r="C50" s="55"/>
      <c r="D50" s="18"/>
      <c r="E50" s="19"/>
      <c r="F50" s="19"/>
      <c r="G50" s="81" t="s">
        <v>131</v>
      </c>
      <c r="H50" s="450">
        <f>SUMIF($G$8:$G$36,"SL",H$8:H$36)</f>
        <v>0</v>
      </c>
      <c r="I50" s="450">
        <f>SUMIF($G$8:$G$36,"SL",I$8:I$36)</f>
        <v>0</v>
      </c>
      <c r="J50" s="450">
        <f>SUMIF($G$8:$G$36,"SL",J$8:J$36)</f>
        <v>0</v>
      </c>
      <c r="K50" s="195"/>
      <c r="L50" s="195"/>
      <c r="M50" s="195"/>
      <c r="N50" s="195"/>
    </row>
    <row r="51" spans="1:15" s="7" customFormat="1" ht="10.5" customHeight="1">
      <c r="A51" s="77"/>
      <c r="B51" s="30"/>
      <c r="C51" s="76"/>
      <c r="D51" s="18"/>
      <c r="E51" s="19"/>
      <c r="F51" s="19"/>
      <c r="G51" s="81" t="s">
        <v>132</v>
      </c>
      <c r="H51" s="450">
        <f>SUMIF($G$8:$G$36,"PL",H$8:H$36)</f>
        <v>0</v>
      </c>
      <c r="I51" s="450">
        <f>SUMIF($G$8:$G$36,"PL",I$8:I$36)</f>
        <v>0</v>
      </c>
      <c r="J51" s="450">
        <f>SUMIF($G$8:$G$36,"PL",J$8:J$36)</f>
        <v>0</v>
      </c>
      <c r="K51" s="195"/>
      <c r="L51" s="195"/>
      <c r="M51" s="195"/>
      <c r="N51" s="195"/>
    </row>
    <row r="52" spans="1:15" s="7" customFormat="1" ht="10.5" customHeight="1">
      <c r="A52" s="77"/>
      <c r="B52" s="30"/>
      <c r="C52" s="76"/>
      <c r="D52" s="40"/>
      <c r="E52" s="41"/>
      <c r="F52" s="41"/>
      <c r="G52" s="81" t="s">
        <v>133</v>
      </c>
      <c r="H52" s="450">
        <f>SUMIF($G$8:$G$36,"KL",H$8:H$36)</f>
        <v>0</v>
      </c>
      <c r="I52" s="450">
        <f>SUMIF($G$8:$G$36,"KL",I$8:I$36)</f>
        <v>0</v>
      </c>
      <c r="J52" s="450">
        <f>SUMIF($G$8:$G$36,"KL",J$8:J$36)</f>
        <v>0</v>
      </c>
      <c r="K52" s="318"/>
      <c r="L52" s="318"/>
      <c r="M52" s="318"/>
      <c r="N52" s="318"/>
    </row>
    <row r="53" spans="1:15" s="7" customFormat="1" ht="10.5" customHeight="1">
      <c r="A53" s="36"/>
      <c r="B53" s="1132"/>
      <c r="C53" s="1133"/>
      <c r="D53" s="40"/>
      <c r="E53" s="41"/>
      <c r="F53" s="41"/>
      <c r="G53" s="81" t="s">
        <v>134</v>
      </c>
      <c r="H53" s="450">
        <f>SUMIF($G$8:$G$36,"TPP",H$8:H$36)</f>
        <v>2</v>
      </c>
      <c r="I53" s="450">
        <f>SUMIF($G$8:$G$36,"TPP",I$8:I$36)</f>
        <v>2.012</v>
      </c>
      <c r="J53" s="450">
        <f>SUMIF($G$8:$G$36,"TPP",J$8:J$36)</f>
        <v>2.0240719999999999</v>
      </c>
      <c r="K53" s="195"/>
      <c r="L53" s="195"/>
      <c r="M53" s="195"/>
      <c r="N53" s="195"/>
    </row>
    <row r="54" spans="1:15" s="7" customFormat="1" ht="10.5" customHeight="1">
      <c r="A54" s="37"/>
      <c r="B54" s="12"/>
      <c r="C54" s="12"/>
      <c r="D54" s="12"/>
      <c r="E54" s="12"/>
      <c r="F54" s="12"/>
      <c r="G54" s="83" t="s">
        <v>17</v>
      </c>
      <c r="H54" s="1137">
        <f>SUM(H43:H53)</f>
        <v>391.4</v>
      </c>
      <c r="I54" s="1137">
        <f>SUM(I43:I53)</f>
        <v>710.39380000000006</v>
      </c>
      <c r="J54" s="1137">
        <f>SUM(J43:J53)</f>
        <v>360.92718480000002</v>
      </c>
      <c r="K54" s="57"/>
      <c r="L54" s="57"/>
      <c r="M54" s="1139"/>
      <c r="N54" s="1139"/>
    </row>
    <row r="55" spans="1:15" s="11" customFormat="1">
      <c r="A55" s="38"/>
      <c r="B55" s="12"/>
      <c r="C55" s="12"/>
      <c r="D55" s="12"/>
      <c r="E55" s="12"/>
      <c r="F55" s="12"/>
      <c r="G55" s="43"/>
      <c r="H55" s="12"/>
      <c r="M55" s="14"/>
      <c r="N55" s="14"/>
      <c r="O55" s="14"/>
    </row>
    <row r="56" spans="1:15" s="11" customFormat="1">
      <c r="A56" s="38"/>
      <c r="B56" s="12"/>
      <c r="C56" s="12"/>
      <c r="D56" s="12"/>
      <c r="E56" s="12"/>
      <c r="F56" s="12"/>
      <c r="G56" s="43"/>
      <c r="H56" s="12"/>
      <c r="M56" s="14"/>
      <c r="N56" s="14"/>
      <c r="O56" s="14"/>
    </row>
    <row r="57" spans="1:15" s="11" customFormat="1">
      <c r="A57" s="38"/>
      <c r="B57" s="12"/>
      <c r="C57" s="12"/>
      <c r="D57" s="12"/>
      <c r="E57" s="12"/>
      <c r="F57" s="12"/>
      <c r="G57" s="43"/>
      <c r="H57" s="12"/>
      <c r="M57" s="14"/>
      <c r="N57" s="14"/>
      <c r="O57" s="14"/>
    </row>
    <row r="58" spans="1:15" s="11" customFormat="1">
      <c r="A58" s="38"/>
      <c r="B58" s="12"/>
      <c r="C58" s="12"/>
      <c r="D58" s="12"/>
      <c r="E58" s="12"/>
      <c r="F58" s="12"/>
      <c r="G58" s="43"/>
      <c r="H58" s="12"/>
    </row>
    <row r="59" spans="1:15" s="11" customFormat="1">
      <c r="A59" s="38"/>
      <c r="B59" s="12"/>
      <c r="C59" s="12"/>
      <c r="D59" s="12"/>
      <c r="E59" s="12"/>
      <c r="F59" s="12"/>
      <c r="G59" s="43"/>
      <c r="H59" s="12"/>
    </row>
    <row r="60" spans="1:15" s="11" customFormat="1">
      <c r="A60" s="38"/>
      <c r="B60" s="12"/>
      <c r="C60" s="12"/>
      <c r="D60" s="12"/>
      <c r="E60" s="12"/>
      <c r="F60" s="12"/>
      <c r="G60" s="43"/>
      <c r="H60" s="12"/>
    </row>
    <row r="61" spans="1:15" s="11" customFormat="1">
      <c r="A61" s="38"/>
      <c r="B61" s="12"/>
      <c r="C61" s="12"/>
      <c r="D61" s="12"/>
      <c r="E61" s="12"/>
      <c r="F61" s="12"/>
      <c r="G61" s="43"/>
      <c r="H61" s="12"/>
    </row>
    <row r="62" spans="1:15" s="11" customFormat="1">
      <c r="A62" s="38"/>
      <c r="B62" s="12"/>
      <c r="C62" s="12"/>
      <c r="D62" s="12"/>
      <c r="E62" s="12"/>
      <c r="F62" s="12"/>
      <c r="G62" s="43"/>
      <c r="H62" s="12"/>
    </row>
  </sheetData>
  <mergeCells count="59">
    <mergeCell ref="N24:N25"/>
    <mergeCell ref="F28:F30"/>
    <mergeCell ref="K28:K29"/>
    <mergeCell ref="L28:L29"/>
    <mergeCell ref="M28:M29"/>
    <mergeCell ref="N28:N29"/>
    <mergeCell ref="K24:K25"/>
    <mergeCell ref="L24:L25"/>
    <mergeCell ref="M24:M25"/>
    <mergeCell ref="C31:G31"/>
    <mergeCell ref="C28:E30"/>
    <mergeCell ref="F24:F26"/>
    <mergeCell ref="A3:J3"/>
    <mergeCell ref="A5:A7"/>
    <mergeCell ref="B5:B7"/>
    <mergeCell ref="B8:B9"/>
    <mergeCell ref="C24:E26"/>
    <mergeCell ref="B11:B34"/>
    <mergeCell ref="C32:E33"/>
    <mergeCell ref="J5:J7"/>
    <mergeCell ref="I11:I12"/>
    <mergeCell ref="J11:J12"/>
    <mergeCell ref="G15:G16"/>
    <mergeCell ref="H15:H16"/>
    <mergeCell ref="H5:H7"/>
    <mergeCell ref="H11:H12"/>
    <mergeCell ref="A41:G41"/>
    <mergeCell ref="A36:G36"/>
    <mergeCell ref="A8:A35"/>
    <mergeCell ref="A37:A39"/>
    <mergeCell ref="B37:B38"/>
    <mergeCell ref="C37:E37"/>
    <mergeCell ref="C38:G38"/>
    <mergeCell ref="B35:G35"/>
    <mergeCell ref="C34:G34"/>
    <mergeCell ref="A40:G40"/>
    <mergeCell ref="B39:G39"/>
    <mergeCell ref="F15:F16"/>
    <mergeCell ref="C27:G27"/>
    <mergeCell ref="G11:G12"/>
    <mergeCell ref="C23:G23"/>
    <mergeCell ref="C15:E22"/>
    <mergeCell ref="C5:C7"/>
    <mergeCell ref="D5:D7"/>
    <mergeCell ref="E5:E7"/>
    <mergeCell ref="F5:F7"/>
    <mergeCell ref="G5:G7"/>
    <mergeCell ref="C8:E8"/>
    <mergeCell ref="C9:G9"/>
    <mergeCell ref="B10:G10"/>
    <mergeCell ref="C14:G14"/>
    <mergeCell ref="C11:E13"/>
    <mergeCell ref="F11:F13"/>
    <mergeCell ref="I15:I16"/>
    <mergeCell ref="J15:J16"/>
    <mergeCell ref="K5:N5"/>
    <mergeCell ref="K6:K7"/>
    <mergeCell ref="L6:N6"/>
    <mergeCell ref="I5:I7"/>
  </mergeCells>
  <phoneticPr fontId="6" type="noConversion"/>
  <pageMargins left="0.39370078740157483" right="0.39370078740157483" top="0.39370078740157483" bottom="0.35433070866141736" header="0" footer="0"/>
  <pageSetup paperSize="9" scale="95" orientation="landscape" r:id="rId1"/>
  <headerFooter alignWithMargins="0">
    <oddHeader>&amp;C3.1.-&amp;P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5"/>
  <sheetViews>
    <sheetView topLeftCell="A46" zoomScaleNormal="100" zoomScaleSheetLayoutView="100" workbookViewId="0">
      <selection activeCell="L68" sqref="L68"/>
    </sheetView>
  </sheetViews>
  <sheetFormatPr defaultColWidth="7.85546875" defaultRowHeight="12.75"/>
  <cols>
    <col min="1" max="1" width="7.42578125" style="39" customWidth="1"/>
    <col min="2" max="2" width="10.85546875" style="2" customWidth="1"/>
    <col min="3" max="5" width="9.140625" style="2" customWidth="1"/>
    <col min="6" max="6" width="10.5703125" style="2" customWidth="1"/>
    <col min="7" max="7" width="8.7109375" style="8" customWidth="1"/>
    <col min="8" max="8" width="8.42578125" style="2" customWidth="1"/>
    <col min="9" max="10" width="8.42578125" style="3" customWidth="1"/>
    <col min="11" max="11" width="27.85546875" style="3" customWidth="1"/>
    <col min="12" max="12" width="9.28515625" style="2" customWidth="1"/>
    <col min="13" max="13" width="9.42578125" style="2" customWidth="1"/>
    <col min="14" max="14" width="9.85546875" style="2" customWidth="1"/>
    <col min="15" max="16384" width="7.85546875" style="3"/>
  </cols>
  <sheetData>
    <row r="1" spans="1:15" ht="15.75">
      <c r="A1" s="110" t="s">
        <v>463</v>
      </c>
      <c r="B1" s="111"/>
      <c r="C1" s="111"/>
      <c r="D1" s="111"/>
      <c r="E1" s="111"/>
      <c r="F1" s="111"/>
      <c r="G1" s="111"/>
      <c r="H1" s="111"/>
      <c r="I1" s="111"/>
      <c r="J1" s="111"/>
      <c r="K1" s="7" t="s">
        <v>464</v>
      </c>
      <c r="L1" s="8"/>
      <c r="M1" s="8"/>
      <c r="N1" s="8"/>
    </row>
    <row r="2" spans="1:15" ht="15.75">
      <c r="A2" s="112" t="s">
        <v>144</v>
      </c>
      <c r="B2" s="113"/>
      <c r="C2" s="113"/>
      <c r="D2" s="113"/>
      <c r="E2" s="113"/>
      <c r="F2" s="113"/>
      <c r="G2" s="113"/>
      <c r="H2" s="113"/>
      <c r="I2" s="113"/>
      <c r="J2" s="113"/>
      <c r="K2" s="7" t="s">
        <v>107</v>
      </c>
      <c r="L2" s="8"/>
      <c r="M2" s="8"/>
      <c r="N2" s="8"/>
    </row>
    <row r="3" spans="1:15" ht="30.75" customHeight="1">
      <c r="A3" s="1503" t="s">
        <v>117</v>
      </c>
      <c r="B3" s="1503"/>
      <c r="C3" s="1503"/>
      <c r="D3" s="1503"/>
      <c r="E3" s="1503"/>
      <c r="F3" s="1503"/>
      <c r="G3" s="1503"/>
      <c r="H3" s="1503"/>
      <c r="I3" s="1503"/>
      <c r="J3" s="1503"/>
      <c r="K3" s="1575" t="s">
        <v>831</v>
      </c>
      <c r="L3" s="1575"/>
      <c r="M3" s="8"/>
      <c r="N3" s="8"/>
    </row>
    <row r="4" spans="1:15" ht="16.5" thickBot="1">
      <c r="A4" s="9"/>
      <c r="B4" s="9"/>
      <c r="C4" s="9"/>
      <c r="D4" s="9"/>
      <c r="E4" s="9"/>
      <c r="F4" s="9"/>
      <c r="G4" s="9"/>
      <c r="H4" s="9"/>
      <c r="I4" s="9"/>
      <c r="J4" s="9"/>
      <c r="K4" s="7"/>
      <c r="L4" s="8"/>
      <c r="M4" s="8"/>
      <c r="N4" s="8"/>
    </row>
    <row r="5" spans="1:15" ht="13.5" customHeight="1">
      <c r="A5" s="1492" t="s">
        <v>110</v>
      </c>
      <c r="B5" s="1483" t="s">
        <v>111</v>
      </c>
      <c r="C5" s="1483" t="s">
        <v>112</v>
      </c>
      <c r="D5" s="1483" t="s">
        <v>47</v>
      </c>
      <c r="E5" s="1570" t="s">
        <v>113</v>
      </c>
      <c r="F5" s="1483" t="s">
        <v>14</v>
      </c>
      <c r="G5" s="1490" t="s">
        <v>114</v>
      </c>
      <c r="H5" s="1483" t="s">
        <v>814</v>
      </c>
      <c r="I5" s="1485" t="s">
        <v>815</v>
      </c>
      <c r="J5" s="1469" t="s">
        <v>816</v>
      </c>
      <c r="K5" s="1471" t="s">
        <v>115</v>
      </c>
      <c r="L5" s="1472"/>
      <c r="M5" s="1472"/>
      <c r="N5" s="1473"/>
    </row>
    <row r="6" spans="1:15" ht="13.5" customHeight="1">
      <c r="A6" s="1493"/>
      <c r="B6" s="1484"/>
      <c r="C6" s="1484"/>
      <c r="D6" s="1484"/>
      <c r="E6" s="1571"/>
      <c r="F6" s="1484"/>
      <c r="G6" s="1491"/>
      <c r="H6" s="1484"/>
      <c r="I6" s="1486"/>
      <c r="J6" s="1470"/>
      <c r="K6" s="1474" t="s">
        <v>47</v>
      </c>
      <c r="L6" s="1476" t="s">
        <v>116</v>
      </c>
      <c r="M6" s="1477"/>
      <c r="N6" s="1478"/>
    </row>
    <row r="7" spans="1:15" ht="148.5" customHeight="1" thickBot="1">
      <c r="A7" s="1494"/>
      <c r="B7" s="1495"/>
      <c r="C7" s="1484"/>
      <c r="D7" s="1484"/>
      <c r="E7" s="1571"/>
      <c r="F7" s="1484"/>
      <c r="G7" s="1491"/>
      <c r="H7" s="1484"/>
      <c r="I7" s="1486"/>
      <c r="J7" s="1470"/>
      <c r="K7" s="1578"/>
      <c r="L7" s="114" t="s">
        <v>138</v>
      </c>
      <c r="M7" s="114" t="s">
        <v>256</v>
      </c>
      <c r="N7" s="115" t="s">
        <v>452</v>
      </c>
    </row>
    <row r="8" spans="1:15" s="10" customFormat="1" ht="22.5" customHeight="1">
      <c r="A8" s="1400" t="s">
        <v>599</v>
      </c>
      <c r="B8" s="1184" t="s">
        <v>632</v>
      </c>
      <c r="C8" s="1165" t="s">
        <v>628</v>
      </c>
      <c r="D8" s="1166"/>
      <c r="E8" s="1167"/>
      <c r="F8" s="1507" t="s">
        <v>171</v>
      </c>
      <c r="G8" s="1197" t="s">
        <v>121</v>
      </c>
      <c r="H8" s="1199">
        <v>72</v>
      </c>
      <c r="I8" s="1374">
        <v>60</v>
      </c>
      <c r="J8" s="1374">
        <v>60</v>
      </c>
      <c r="K8" s="916" t="s">
        <v>600</v>
      </c>
      <c r="L8" s="509">
        <v>1</v>
      </c>
      <c r="M8" s="509"/>
      <c r="N8" s="517"/>
    </row>
    <row r="9" spans="1:15" s="7" customFormat="1" ht="33.75" customHeight="1">
      <c r="A9" s="1400"/>
      <c r="B9" s="1184"/>
      <c r="C9" s="1452"/>
      <c r="D9" s="1574"/>
      <c r="E9" s="1323"/>
      <c r="F9" s="1566"/>
      <c r="G9" s="1463"/>
      <c r="H9" s="1576"/>
      <c r="I9" s="1579"/>
      <c r="J9" s="1579"/>
      <c r="K9" s="599" t="s">
        <v>601</v>
      </c>
      <c r="L9" s="998">
        <v>1</v>
      </c>
      <c r="M9" s="998"/>
      <c r="N9" s="999"/>
    </row>
    <row r="10" spans="1:15" s="405" customFormat="1">
      <c r="A10" s="1400"/>
      <c r="B10" s="1184"/>
      <c r="C10" s="1452"/>
      <c r="D10" s="1574"/>
      <c r="E10" s="1323"/>
      <c r="F10" s="1566"/>
      <c r="G10" s="1463"/>
      <c r="H10" s="1576"/>
      <c r="I10" s="1579"/>
      <c r="J10" s="1579"/>
      <c r="K10" s="776" t="s">
        <v>602</v>
      </c>
      <c r="L10" s="1053"/>
      <c r="M10" s="1053">
        <v>2</v>
      </c>
      <c r="N10" s="1054">
        <v>2</v>
      </c>
      <c r="O10" s="434"/>
    </row>
    <row r="11" spans="1:15" s="192" customFormat="1" ht="13.5" thickBot="1">
      <c r="A11" s="1400"/>
      <c r="B11" s="1184"/>
      <c r="C11" s="1452"/>
      <c r="D11" s="1574"/>
      <c r="E11" s="1323"/>
      <c r="F11" s="1381"/>
      <c r="G11" s="1346"/>
      <c r="H11" s="1577"/>
      <c r="I11" s="1580"/>
      <c r="J11" s="1580"/>
      <c r="K11" s="776" t="s">
        <v>603</v>
      </c>
      <c r="L11" s="1053"/>
      <c r="M11" s="1053">
        <v>2</v>
      </c>
      <c r="N11" s="1054">
        <v>2</v>
      </c>
    </row>
    <row r="12" spans="1:15" s="7" customFormat="1" ht="13.5" thickBot="1">
      <c r="A12" s="1400"/>
      <c r="B12" s="1184"/>
      <c r="C12" s="1159" t="s">
        <v>118</v>
      </c>
      <c r="D12" s="1375"/>
      <c r="E12" s="1375"/>
      <c r="F12" s="1375"/>
      <c r="G12" s="1376"/>
      <c r="H12" s="755">
        <f>SUM(H8:H9)</f>
        <v>72</v>
      </c>
      <c r="I12" s="756">
        <f>SUM(I8:I9)</f>
        <v>60</v>
      </c>
      <c r="J12" s="756">
        <f>SUM(J8:J9)</f>
        <v>60</v>
      </c>
      <c r="K12" s="410"/>
      <c r="L12" s="419"/>
      <c r="M12" s="419"/>
      <c r="N12" s="420"/>
    </row>
    <row r="13" spans="1:15" s="7" customFormat="1" ht="26.25" customHeight="1">
      <c r="A13" s="1400"/>
      <c r="B13" s="1209"/>
      <c r="C13" s="1309" t="s">
        <v>629</v>
      </c>
      <c r="D13" s="1310"/>
      <c r="E13" s="1310"/>
      <c r="F13" s="1507" t="s">
        <v>171</v>
      </c>
      <c r="G13" s="1149" t="s">
        <v>121</v>
      </c>
      <c r="H13" s="1557">
        <v>112.5</v>
      </c>
      <c r="I13" s="1367">
        <v>110</v>
      </c>
      <c r="J13" s="1367">
        <v>110</v>
      </c>
      <c r="K13" s="492" t="s">
        <v>607</v>
      </c>
      <c r="L13" s="461">
        <v>12</v>
      </c>
      <c r="M13" s="461">
        <v>10</v>
      </c>
      <c r="N13" s="462">
        <v>10</v>
      </c>
    </row>
    <row r="14" spans="1:15" s="405" customFormat="1" ht="13.5" thickBot="1">
      <c r="A14" s="1400"/>
      <c r="B14" s="1209"/>
      <c r="C14" s="1311"/>
      <c r="D14" s="1312"/>
      <c r="E14" s="1312"/>
      <c r="F14" s="1345"/>
      <c r="G14" s="1362"/>
      <c r="H14" s="1152"/>
      <c r="I14" s="1354"/>
      <c r="J14" s="1354"/>
      <c r="K14" s="502" t="s">
        <v>604</v>
      </c>
      <c r="L14" s="478">
        <v>15</v>
      </c>
      <c r="M14" s="478">
        <v>12</v>
      </c>
      <c r="N14" s="463">
        <v>12</v>
      </c>
    </row>
    <row r="15" spans="1:15" s="16" customFormat="1" ht="13.5" thickBot="1">
      <c r="A15" s="1400"/>
      <c r="B15" s="1184"/>
      <c r="C15" s="1223" t="s">
        <v>118</v>
      </c>
      <c r="D15" s="1445"/>
      <c r="E15" s="1445"/>
      <c r="F15" s="1445"/>
      <c r="G15" s="1559"/>
      <c r="H15" s="995">
        <f>SUM(H13:H13)</f>
        <v>112.5</v>
      </c>
      <c r="I15" s="996">
        <f>SUM(I13:I13)</f>
        <v>110</v>
      </c>
      <c r="J15" s="996">
        <f>SUM(J13:J13)</f>
        <v>110</v>
      </c>
      <c r="K15" s="148"/>
      <c r="L15" s="170"/>
      <c r="M15" s="170"/>
      <c r="N15" s="255"/>
    </row>
    <row r="16" spans="1:15" s="7" customFormat="1" ht="13.5" thickBot="1">
      <c r="A16" s="1400"/>
      <c r="B16" s="1184"/>
      <c r="C16" s="1159" t="s">
        <v>119</v>
      </c>
      <c r="D16" s="1375"/>
      <c r="E16" s="1375"/>
      <c r="F16" s="1375"/>
      <c r="G16" s="1375"/>
      <c r="H16" s="766">
        <f>H12+H15</f>
        <v>184.5</v>
      </c>
      <c r="I16" s="767">
        <f>I12+I15</f>
        <v>170</v>
      </c>
      <c r="J16" s="767">
        <f>J12+J15</f>
        <v>170</v>
      </c>
      <c r="K16" s="162"/>
      <c r="L16" s="258"/>
      <c r="M16" s="258"/>
      <c r="N16" s="259"/>
    </row>
    <row r="17" spans="1:14" s="7" customFormat="1" ht="13.5" thickBot="1">
      <c r="A17" s="1297" t="s">
        <v>303</v>
      </c>
      <c r="B17" s="1368"/>
      <c r="C17" s="1572"/>
      <c r="D17" s="1572"/>
      <c r="E17" s="1572"/>
      <c r="F17" s="1572"/>
      <c r="G17" s="1573"/>
      <c r="H17" s="995">
        <f>H16</f>
        <v>184.5</v>
      </c>
      <c r="I17" s="996">
        <f>I16</f>
        <v>170</v>
      </c>
      <c r="J17" s="996">
        <f>J16</f>
        <v>170</v>
      </c>
      <c r="K17" s="148"/>
      <c r="L17" s="170"/>
      <c r="M17" s="170"/>
      <c r="N17" s="255"/>
    </row>
    <row r="18" spans="1:14" s="7" customFormat="1" ht="57.75" customHeight="1">
      <c r="A18" s="1171" t="s">
        <v>145</v>
      </c>
      <c r="B18" s="1555" t="s">
        <v>241</v>
      </c>
      <c r="C18" s="1309" t="s">
        <v>630</v>
      </c>
      <c r="D18" s="1551"/>
      <c r="E18" s="1551"/>
      <c r="F18" s="1507" t="s">
        <v>171</v>
      </c>
      <c r="G18" s="832" t="s">
        <v>121</v>
      </c>
      <c r="H18" s="833">
        <v>40</v>
      </c>
      <c r="I18" s="569">
        <v>40</v>
      </c>
      <c r="J18" s="569">
        <v>40</v>
      </c>
      <c r="K18" s="1380" t="s">
        <v>406</v>
      </c>
      <c r="L18" s="1545">
        <v>8</v>
      </c>
      <c r="M18" s="1545">
        <v>8</v>
      </c>
      <c r="N18" s="1546">
        <v>8</v>
      </c>
    </row>
    <row r="19" spans="1:14" s="192" customFormat="1" ht="57.75" customHeight="1" thickBot="1">
      <c r="A19" s="1172"/>
      <c r="B19" s="1556"/>
      <c r="C19" s="1552"/>
      <c r="D19" s="1553"/>
      <c r="E19" s="1553"/>
      <c r="F19" s="1554"/>
      <c r="G19" s="498" t="s">
        <v>224</v>
      </c>
      <c r="H19" s="773">
        <v>10</v>
      </c>
      <c r="I19" s="983">
        <v>10</v>
      </c>
      <c r="J19" s="983">
        <v>10</v>
      </c>
      <c r="K19" s="1558"/>
      <c r="L19" s="1198"/>
      <c r="M19" s="1198"/>
      <c r="N19" s="1547"/>
    </row>
    <row r="20" spans="1:14" s="16" customFormat="1" ht="13.5" thickBot="1">
      <c r="A20" s="1172"/>
      <c r="B20" s="1556"/>
      <c r="C20" s="1223" t="s">
        <v>118</v>
      </c>
      <c r="D20" s="1445"/>
      <c r="E20" s="1445"/>
      <c r="F20" s="1445"/>
      <c r="G20" s="1445"/>
      <c r="H20" s="766">
        <f>H18+H19</f>
        <v>50</v>
      </c>
      <c r="I20" s="767">
        <f t="shared" ref="I20:J20" si="0">I18+I19</f>
        <v>50</v>
      </c>
      <c r="J20" s="818">
        <f t="shared" si="0"/>
        <v>50</v>
      </c>
      <c r="K20" s="1010"/>
      <c r="L20" s="266"/>
      <c r="M20" s="266"/>
      <c r="N20" s="267"/>
    </row>
    <row r="21" spans="1:14" s="7" customFormat="1" ht="13.5" thickBot="1">
      <c r="A21" s="1172"/>
      <c r="B21" s="1185" t="s">
        <v>119</v>
      </c>
      <c r="C21" s="1378"/>
      <c r="D21" s="1378"/>
      <c r="E21" s="1378"/>
      <c r="F21" s="1378"/>
      <c r="G21" s="1379"/>
      <c r="H21" s="926">
        <f>H20</f>
        <v>50</v>
      </c>
      <c r="I21" s="926">
        <f t="shared" ref="I21:J21" si="1">I20</f>
        <v>50</v>
      </c>
      <c r="J21" s="926">
        <f t="shared" si="1"/>
        <v>50</v>
      </c>
      <c r="K21" s="139"/>
      <c r="L21" s="258"/>
      <c r="M21" s="258"/>
      <c r="N21" s="259"/>
    </row>
    <row r="22" spans="1:14" s="7" customFormat="1" ht="26.25" customHeight="1" thickBot="1">
      <c r="A22" s="1172"/>
      <c r="B22" s="1454" t="s">
        <v>57</v>
      </c>
      <c r="C22" s="1165" t="s">
        <v>627</v>
      </c>
      <c r="D22" s="1166"/>
      <c r="E22" s="1166"/>
      <c r="F22" s="850" t="s">
        <v>171</v>
      </c>
      <c r="G22" s="862" t="s">
        <v>121</v>
      </c>
      <c r="H22" s="857">
        <v>2</v>
      </c>
      <c r="I22" s="590">
        <v>2</v>
      </c>
      <c r="J22" s="590">
        <v>2</v>
      </c>
      <c r="K22" s="1064" t="s">
        <v>612</v>
      </c>
      <c r="L22" s="1065">
        <v>150</v>
      </c>
      <c r="M22" s="1065">
        <v>140</v>
      </c>
      <c r="N22" s="1066">
        <v>140</v>
      </c>
    </row>
    <row r="23" spans="1:14" s="16" customFormat="1" ht="13.5" thickBot="1">
      <c r="A23" s="1172"/>
      <c r="B23" s="1456"/>
      <c r="C23" s="1153" t="s">
        <v>118</v>
      </c>
      <c r="D23" s="1421"/>
      <c r="E23" s="1421"/>
      <c r="F23" s="1421"/>
      <c r="G23" s="1421"/>
      <c r="H23" s="766">
        <f>SUM(H22:H22)</f>
        <v>2</v>
      </c>
      <c r="I23" s="767">
        <f>SUM(I22:I22)</f>
        <v>2</v>
      </c>
      <c r="J23" s="767">
        <f>SUM(J22:J22)</f>
        <v>2</v>
      </c>
      <c r="K23" s="105"/>
      <c r="L23" s="430"/>
      <c r="M23" s="430"/>
      <c r="N23" s="431"/>
    </row>
    <row r="24" spans="1:14" s="7" customFormat="1" ht="24.75" customHeight="1" thickBot="1">
      <c r="A24" s="1172"/>
      <c r="B24" s="1456"/>
      <c r="C24" s="1165" t="s">
        <v>626</v>
      </c>
      <c r="D24" s="1157"/>
      <c r="E24" s="1158"/>
      <c r="F24" s="850" t="s">
        <v>171</v>
      </c>
      <c r="G24" s="862" t="s">
        <v>121</v>
      </c>
      <c r="H24" s="857">
        <v>390</v>
      </c>
      <c r="I24" s="611">
        <v>390</v>
      </c>
      <c r="J24" s="611">
        <v>390</v>
      </c>
      <c r="K24" s="813" t="s">
        <v>608</v>
      </c>
      <c r="L24" s="1062">
        <v>27</v>
      </c>
      <c r="M24" s="1062">
        <v>26</v>
      </c>
      <c r="N24" s="1063">
        <v>25</v>
      </c>
    </row>
    <row r="25" spans="1:14" s="7" customFormat="1" ht="13.5" thickBot="1">
      <c r="A25" s="1172"/>
      <c r="B25" s="1456"/>
      <c r="C25" s="1159" t="s">
        <v>118</v>
      </c>
      <c r="D25" s="1375"/>
      <c r="E25" s="1375"/>
      <c r="F25" s="1375"/>
      <c r="G25" s="1376"/>
      <c r="H25" s="755">
        <f>SUM(H24)</f>
        <v>390</v>
      </c>
      <c r="I25" s="756">
        <f>SUM(I24)</f>
        <v>390</v>
      </c>
      <c r="J25" s="756">
        <f>SUM(J24)</f>
        <v>390</v>
      </c>
      <c r="K25" s="379"/>
      <c r="L25" s="264"/>
      <c r="M25" s="264"/>
      <c r="N25" s="265"/>
    </row>
    <row r="26" spans="1:14" s="7" customFormat="1">
      <c r="A26" s="1172"/>
      <c r="B26" s="1556"/>
      <c r="C26" s="1309" t="s">
        <v>625</v>
      </c>
      <c r="D26" s="1548"/>
      <c r="E26" s="1548"/>
      <c r="F26" s="1147" t="s">
        <v>171</v>
      </c>
      <c r="G26" s="1149" t="s">
        <v>121</v>
      </c>
      <c r="H26" s="1151">
        <v>23</v>
      </c>
      <c r="I26" s="1151">
        <v>23</v>
      </c>
      <c r="J26" s="1151">
        <v>23</v>
      </c>
      <c r="K26" s="601" t="s">
        <v>609</v>
      </c>
      <c r="L26" s="461">
        <v>356164</v>
      </c>
      <c r="M26" s="461">
        <f>L26+M27</f>
        <v>356958</v>
      </c>
      <c r="N26" s="462">
        <f>M26+N27</f>
        <v>357752</v>
      </c>
    </row>
    <row r="27" spans="1:14" s="405" customFormat="1" ht="16.5" customHeight="1" thickBot="1">
      <c r="A27" s="1172"/>
      <c r="B27" s="1556"/>
      <c r="C27" s="1549"/>
      <c r="D27" s="1354"/>
      <c r="E27" s="1354"/>
      <c r="F27" s="1148"/>
      <c r="G27" s="1150"/>
      <c r="H27" s="1550"/>
      <c r="I27" s="1550"/>
      <c r="J27" s="1550"/>
      <c r="K27" s="533" t="s">
        <v>610</v>
      </c>
      <c r="L27" s="478">
        <v>794</v>
      </c>
      <c r="M27" s="478">
        <v>794</v>
      </c>
      <c r="N27" s="463">
        <v>794</v>
      </c>
    </row>
    <row r="28" spans="1:14" s="16" customFormat="1" ht="15" customHeight="1" thickBot="1">
      <c r="A28" s="1172"/>
      <c r="B28" s="1456"/>
      <c r="C28" s="1223" t="s">
        <v>118</v>
      </c>
      <c r="D28" s="1445"/>
      <c r="E28" s="1445"/>
      <c r="F28" s="1445"/>
      <c r="G28" s="1559"/>
      <c r="H28" s="995">
        <f>SUM(H26)</f>
        <v>23</v>
      </c>
      <c r="I28" s="996">
        <f>SUM(I26)</f>
        <v>23</v>
      </c>
      <c r="J28" s="996">
        <f>SUM(J26)</f>
        <v>23</v>
      </c>
      <c r="K28" s="148"/>
      <c r="L28" s="170"/>
      <c r="M28" s="170"/>
      <c r="N28" s="255"/>
    </row>
    <row r="29" spans="1:14" s="7" customFormat="1" ht="13.5" thickBot="1">
      <c r="A29" s="1172"/>
      <c r="B29" s="1185" t="s">
        <v>119</v>
      </c>
      <c r="C29" s="1305"/>
      <c r="D29" s="1305"/>
      <c r="E29" s="1305"/>
      <c r="F29" s="1305"/>
      <c r="G29" s="1305"/>
      <c r="H29" s="175">
        <f>H23+H25+H28</f>
        <v>415</v>
      </c>
      <c r="I29" s="161">
        <f t="shared" ref="I29:J29" si="2">I23+I25+I28</f>
        <v>415</v>
      </c>
      <c r="J29" s="161">
        <f t="shared" si="2"/>
        <v>415</v>
      </c>
      <c r="K29" s="105"/>
      <c r="L29" s="209"/>
      <c r="M29" s="209"/>
      <c r="N29" s="251"/>
    </row>
    <row r="30" spans="1:14" s="7" customFormat="1" ht="27" customHeight="1">
      <c r="A30" s="1172"/>
      <c r="B30" s="1171" t="s">
        <v>146</v>
      </c>
      <c r="C30" s="1165" t="s">
        <v>644</v>
      </c>
      <c r="D30" s="1340"/>
      <c r="E30" s="1341"/>
      <c r="F30" s="1507" t="s">
        <v>171</v>
      </c>
      <c r="G30" s="1197" t="s">
        <v>135</v>
      </c>
      <c r="H30" s="1567">
        <v>152.9</v>
      </c>
      <c r="I30" s="1567">
        <v>152.9</v>
      </c>
      <c r="J30" s="1567">
        <v>152.9</v>
      </c>
      <c r="K30" s="916" t="s">
        <v>645</v>
      </c>
      <c r="L30" s="467">
        <v>35</v>
      </c>
      <c r="M30" s="467">
        <v>35</v>
      </c>
      <c r="N30" s="468">
        <v>35</v>
      </c>
    </row>
    <row r="31" spans="1:14" s="7" customFormat="1" ht="19.5" customHeight="1">
      <c r="A31" s="1172"/>
      <c r="B31" s="1172"/>
      <c r="C31" s="1299"/>
      <c r="D31" s="1174"/>
      <c r="E31" s="1175"/>
      <c r="F31" s="1531"/>
      <c r="G31" s="1519"/>
      <c r="H31" s="1568"/>
      <c r="I31" s="1569"/>
      <c r="J31" s="1569"/>
      <c r="K31" s="967" t="s">
        <v>335</v>
      </c>
      <c r="L31" s="1059">
        <v>0.09</v>
      </c>
      <c r="M31" s="1060">
        <v>8.5000000000000006E-2</v>
      </c>
      <c r="N31" s="1061">
        <v>8.5000000000000006E-2</v>
      </c>
    </row>
    <row r="32" spans="1:14" s="7" customFormat="1" ht="20.25" customHeight="1" thickBot="1">
      <c r="A32" s="1172"/>
      <c r="B32" s="1172"/>
      <c r="C32" s="1194"/>
      <c r="D32" s="1195"/>
      <c r="E32" s="1196"/>
      <c r="F32" s="1345"/>
      <c r="G32" s="498" t="s">
        <v>223</v>
      </c>
      <c r="H32" s="512">
        <v>64.5</v>
      </c>
      <c r="I32" s="512">
        <v>64.5</v>
      </c>
      <c r="J32" s="512">
        <v>64.5</v>
      </c>
      <c r="K32" s="477" t="s">
        <v>614</v>
      </c>
      <c r="L32" s="503">
        <v>5</v>
      </c>
      <c r="M32" s="503">
        <v>5</v>
      </c>
      <c r="N32" s="460">
        <v>5</v>
      </c>
    </row>
    <row r="33" spans="1:14" s="7" customFormat="1" ht="13.5" thickBot="1">
      <c r="A33" s="1172"/>
      <c r="B33" s="1172"/>
      <c r="C33" s="1185" t="s">
        <v>118</v>
      </c>
      <c r="D33" s="1378"/>
      <c r="E33" s="1378"/>
      <c r="F33" s="1378"/>
      <c r="G33" s="1379"/>
      <c r="H33" s="755">
        <f>SUM(H30:H32)</f>
        <v>217.4</v>
      </c>
      <c r="I33" s="756">
        <f>SUM(I30:I32)</f>
        <v>217.4</v>
      </c>
      <c r="J33" s="756">
        <f>SUM(J30:J32)</f>
        <v>217.4</v>
      </c>
      <c r="K33" s="398"/>
      <c r="L33" s="399"/>
      <c r="M33" s="399"/>
      <c r="N33" s="400"/>
    </row>
    <row r="34" spans="1:14" s="405" customFormat="1" ht="13.5" thickBot="1">
      <c r="A34" s="1172"/>
      <c r="B34" s="1153" t="s">
        <v>119</v>
      </c>
      <c r="C34" s="1375"/>
      <c r="D34" s="1375"/>
      <c r="E34" s="1375"/>
      <c r="F34" s="1375"/>
      <c r="G34" s="1375"/>
      <c r="H34" s="755">
        <f>H33</f>
        <v>217.4</v>
      </c>
      <c r="I34" s="756">
        <f t="shared" ref="I34:J34" si="3">I33</f>
        <v>217.4</v>
      </c>
      <c r="J34" s="756">
        <f t="shared" si="3"/>
        <v>217.4</v>
      </c>
      <c r="K34" s="379"/>
      <c r="L34" s="264"/>
      <c r="M34" s="264"/>
      <c r="N34" s="265"/>
    </row>
    <row r="35" spans="1:14" s="7" customFormat="1" ht="26.25" customHeight="1" thickBot="1">
      <c r="A35" s="1172"/>
      <c r="B35" s="1565" t="s">
        <v>615</v>
      </c>
      <c r="C35" s="1560" t="s">
        <v>631</v>
      </c>
      <c r="D35" s="1561"/>
      <c r="E35" s="1561"/>
      <c r="F35" s="521" t="s">
        <v>171</v>
      </c>
      <c r="G35" s="522" t="s">
        <v>121</v>
      </c>
      <c r="H35" s="1011">
        <v>10</v>
      </c>
      <c r="I35" s="1011">
        <v>10</v>
      </c>
      <c r="J35" s="1011">
        <v>10</v>
      </c>
      <c r="K35" s="1055" t="s">
        <v>616</v>
      </c>
      <c r="L35" s="994">
        <v>3</v>
      </c>
      <c r="M35" s="994">
        <v>3</v>
      </c>
      <c r="N35" s="527">
        <v>3</v>
      </c>
    </row>
    <row r="36" spans="1:14" s="7" customFormat="1" ht="13.5" thickBot="1">
      <c r="A36" s="1172"/>
      <c r="B36" s="1400"/>
      <c r="C36" s="1223" t="s">
        <v>118</v>
      </c>
      <c r="D36" s="1479"/>
      <c r="E36" s="1479"/>
      <c r="F36" s="1479"/>
      <c r="G36" s="1562"/>
      <c r="H36" s="925">
        <f>SUM(H35:H35)</f>
        <v>10</v>
      </c>
      <c r="I36" s="926">
        <f>SUM(I35:I35)</f>
        <v>10</v>
      </c>
      <c r="J36" s="926">
        <f>SUM(J35:J35)</f>
        <v>10</v>
      </c>
      <c r="K36" s="196"/>
      <c r="L36" s="350"/>
      <c r="M36" s="350"/>
      <c r="N36" s="257"/>
    </row>
    <row r="37" spans="1:14" s="7" customFormat="1" ht="45" customHeight="1" thickBot="1">
      <c r="A37" s="1172"/>
      <c r="B37" s="1400"/>
      <c r="C37" s="1564" t="s">
        <v>617</v>
      </c>
      <c r="D37" s="1417"/>
      <c r="E37" s="1417"/>
      <c r="F37" s="850" t="s">
        <v>171</v>
      </c>
      <c r="G37" s="1067" t="s">
        <v>121</v>
      </c>
      <c r="H37" s="852">
        <v>6</v>
      </c>
      <c r="I37" s="590">
        <v>6</v>
      </c>
      <c r="J37" s="590">
        <v>6</v>
      </c>
      <c r="K37" s="590" t="s">
        <v>613</v>
      </c>
      <c r="L37" s="484">
        <v>490</v>
      </c>
      <c r="M37" s="484">
        <v>490</v>
      </c>
      <c r="N37" s="485">
        <v>490</v>
      </c>
    </row>
    <row r="38" spans="1:14" s="405" customFormat="1" ht="13.5" thickBot="1">
      <c r="A38" s="1172"/>
      <c r="B38" s="1400"/>
      <c r="C38" s="1153" t="s">
        <v>118</v>
      </c>
      <c r="D38" s="1378"/>
      <c r="E38" s="1378"/>
      <c r="F38" s="1378"/>
      <c r="G38" s="1379"/>
      <c r="H38" s="766">
        <f>SUM(H37)</f>
        <v>6</v>
      </c>
      <c r="I38" s="767">
        <f>SUM(I37)</f>
        <v>6</v>
      </c>
      <c r="J38" s="767">
        <f>SUM(J37)</f>
        <v>6</v>
      </c>
      <c r="K38" s="161"/>
      <c r="L38" s="289"/>
      <c r="M38" s="289"/>
      <c r="N38" s="290"/>
    </row>
    <row r="39" spans="1:14" s="405" customFormat="1" ht="26.25" customHeight="1" thickBot="1">
      <c r="A39" s="1172"/>
      <c r="B39" s="1400"/>
      <c r="C39" s="1436" t="s">
        <v>624</v>
      </c>
      <c r="D39" s="1437"/>
      <c r="E39" s="1438"/>
      <c r="F39" s="850" t="s">
        <v>171</v>
      </c>
      <c r="G39" s="862" t="s">
        <v>121</v>
      </c>
      <c r="H39" s="927">
        <v>0.6</v>
      </c>
      <c r="I39" s="851">
        <v>0</v>
      </c>
      <c r="J39" s="851">
        <v>0</v>
      </c>
      <c r="K39" s="813" t="s">
        <v>611</v>
      </c>
      <c r="L39" s="472">
        <v>500</v>
      </c>
      <c r="M39" s="472">
        <v>0</v>
      </c>
      <c r="N39" s="997">
        <v>0</v>
      </c>
    </row>
    <row r="40" spans="1:14" s="405" customFormat="1" ht="13.5" thickBot="1">
      <c r="A40" s="1172"/>
      <c r="B40" s="1400"/>
      <c r="C40" s="1153" t="s">
        <v>118</v>
      </c>
      <c r="D40" s="1378"/>
      <c r="E40" s="1378"/>
      <c r="F40" s="1378"/>
      <c r="G40" s="1379"/>
      <c r="H40" s="755">
        <f>SUM(H39)</f>
        <v>0.6</v>
      </c>
      <c r="I40" s="756">
        <f>SUM(I39)</f>
        <v>0</v>
      </c>
      <c r="J40" s="756">
        <f>SUM(J39)</f>
        <v>0</v>
      </c>
      <c r="K40" s="398"/>
      <c r="L40" s="399"/>
      <c r="M40" s="399"/>
      <c r="N40" s="400"/>
    </row>
    <row r="41" spans="1:14" s="7" customFormat="1" ht="13.5" thickBot="1">
      <c r="A41" s="1172"/>
      <c r="B41" s="1153" t="s">
        <v>119</v>
      </c>
      <c r="C41" s="1375"/>
      <c r="D41" s="1375"/>
      <c r="E41" s="1375"/>
      <c r="F41" s="1375"/>
      <c r="G41" s="1375"/>
      <c r="H41" s="766">
        <f>H36+H38+H40</f>
        <v>16.600000000000001</v>
      </c>
      <c r="I41" s="767">
        <f t="shared" ref="I41:J41" si="4">I36+I38+I40</f>
        <v>16</v>
      </c>
      <c r="J41" s="767">
        <f t="shared" si="4"/>
        <v>16</v>
      </c>
      <c r="K41" s="139"/>
      <c r="L41" s="209"/>
      <c r="M41" s="209"/>
      <c r="N41" s="251"/>
    </row>
    <row r="42" spans="1:14" s="10" customFormat="1" ht="23.25" customHeight="1">
      <c r="A42" s="1172"/>
      <c r="B42" s="1171" t="s">
        <v>618</v>
      </c>
      <c r="C42" s="1309" t="s">
        <v>633</v>
      </c>
      <c r="D42" s="1177"/>
      <c r="E42" s="1177"/>
      <c r="F42" s="1507" t="s">
        <v>171</v>
      </c>
      <c r="G42" s="1051" t="s">
        <v>121</v>
      </c>
      <c r="H42" s="1096">
        <v>12.5</v>
      </c>
      <c r="I42" s="1103">
        <v>5</v>
      </c>
      <c r="J42" s="1104">
        <v>0</v>
      </c>
      <c r="K42" s="916" t="s">
        <v>338</v>
      </c>
      <c r="L42" s="509"/>
      <c r="M42" s="509">
        <v>98</v>
      </c>
      <c r="N42" s="517"/>
    </row>
    <row r="43" spans="1:14" s="10" customFormat="1" ht="36.75" customHeight="1" thickBot="1">
      <c r="A43" s="1172"/>
      <c r="B43" s="1184"/>
      <c r="C43" s="1182"/>
      <c r="D43" s="1183"/>
      <c r="E43" s="1183"/>
      <c r="F43" s="1345"/>
      <c r="G43" s="1052" t="s">
        <v>143</v>
      </c>
      <c r="H43" s="773">
        <v>60</v>
      </c>
      <c r="I43" s="1049">
        <v>18</v>
      </c>
      <c r="J43" s="1049">
        <v>0</v>
      </c>
      <c r="K43" s="597" t="s">
        <v>596</v>
      </c>
      <c r="L43" s="598">
        <v>90</v>
      </c>
      <c r="M43" s="396">
        <v>100</v>
      </c>
      <c r="N43" s="975"/>
    </row>
    <row r="44" spans="1:14" s="10" customFormat="1" ht="13.5" thickBot="1">
      <c r="A44" s="1172"/>
      <c r="B44" s="1172"/>
      <c r="C44" s="1223" t="s">
        <v>118</v>
      </c>
      <c r="D44" s="1444"/>
      <c r="E44" s="1444"/>
      <c r="F44" s="1444"/>
      <c r="G44" s="1444"/>
      <c r="H44" s="766">
        <f>H42+H43</f>
        <v>72.5</v>
      </c>
      <c r="I44" s="767">
        <f t="shared" ref="I44:J44" si="5">I42+I43</f>
        <v>23</v>
      </c>
      <c r="J44" s="767">
        <f t="shared" si="5"/>
        <v>0</v>
      </c>
      <c r="K44" s="205"/>
      <c r="L44" s="209"/>
      <c r="M44" s="209"/>
      <c r="N44" s="251"/>
    </row>
    <row r="45" spans="1:14" s="405" customFormat="1" ht="27.75" customHeight="1" thickBot="1">
      <c r="A45" s="1172"/>
      <c r="B45" s="1172"/>
      <c r="C45" s="1560" t="s">
        <v>619</v>
      </c>
      <c r="D45" s="1561"/>
      <c r="E45" s="1561"/>
      <c r="F45" s="521" t="s">
        <v>171</v>
      </c>
      <c r="G45" s="522" t="s">
        <v>121</v>
      </c>
      <c r="H45" s="1011">
        <v>25</v>
      </c>
      <c r="I45" s="1011">
        <v>0</v>
      </c>
      <c r="J45" s="1011">
        <v>0</v>
      </c>
      <c r="K45" s="1055" t="s">
        <v>622</v>
      </c>
      <c r="L45" s="994">
        <v>1</v>
      </c>
      <c r="M45" s="994"/>
      <c r="N45" s="527"/>
    </row>
    <row r="46" spans="1:14" s="405" customFormat="1" ht="13.5" thickBot="1">
      <c r="A46" s="1172"/>
      <c r="B46" s="1172"/>
      <c r="C46" s="1223" t="s">
        <v>118</v>
      </c>
      <c r="D46" s="1479"/>
      <c r="E46" s="1479"/>
      <c r="F46" s="1479"/>
      <c r="G46" s="1562"/>
      <c r="H46" s="925">
        <f>SUM(H45:H45)</f>
        <v>25</v>
      </c>
      <c r="I46" s="926">
        <f>SUM(I45:I45)</f>
        <v>0</v>
      </c>
      <c r="J46" s="926">
        <f>SUM(J45:J45)</f>
        <v>0</v>
      </c>
      <c r="K46" s="196"/>
      <c r="L46" s="350"/>
      <c r="M46" s="350"/>
      <c r="N46" s="257"/>
    </row>
    <row r="47" spans="1:14" s="405" customFormat="1" ht="27.75" customHeight="1" thickBot="1">
      <c r="A47" s="1172"/>
      <c r="B47" s="1172"/>
      <c r="C47" s="1560" t="s">
        <v>620</v>
      </c>
      <c r="D47" s="1561"/>
      <c r="E47" s="1561"/>
      <c r="F47" s="521" t="s">
        <v>171</v>
      </c>
      <c r="G47" s="522" t="s">
        <v>121</v>
      </c>
      <c r="H47" s="1011">
        <v>400</v>
      </c>
      <c r="I47" s="1011">
        <v>0</v>
      </c>
      <c r="J47" s="1011">
        <v>0</v>
      </c>
      <c r="K47" s="1055" t="s">
        <v>623</v>
      </c>
      <c r="L47" s="994">
        <v>1</v>
      </c>
      <c r="M47" s="994"/>
      <c r="N47" s="527"/>
    </row>
    <row r="48" spans="1:14" s="405" customFormat="1" ht="13.5" thickBot="1">
      <c r="A48" s="1172"/>
      <c r="B48" s="1172"/>
      <c r="C48" s="1223" t="s">
        <v>118</v>
      </c>
      <c r="D48" s="1479"/>
      <c r="E48" s="1479"/>
      <c r="F48" s="1479"/>
      <c r="G48" s="1562"/>
      <c r="H48" s="925">
        <f>SUM(H47:H47)</f>
        <v>400</v>
      </c>
      <c r="I48" s="926">
        <f>SUM(I47:I47)</f>
        <v>0</v>
      </c>
      <c r="J48" s="926">
        <f>SUM(J47:J47)</f>
        <v>0</v>
      </c>
      <c r="K48" s="196"/>
      <c r="L48" s="350"/>
      <c r="M48" s="350"/>
      <c r="N48" s="257"/>
    </row>
    <row r="49" spans="1:14" s="405" customFormat="1" ht="36.75" customHeight="1" thickBot="1">
      <c r="A49" s="1172"/>
      <c r="B49" s="1172"/>
      <c r="C49" s="1560" t="s">
        <v>621</v>
      </c>
      <c r="D49" s="1563"/>
      <c r="E49" s="1563"/>
      <c r="F49" s="521" t="s">
        <v>171</v>
      </c>
      <c r="G49" s="522" t="s">
        <v>121</v>
      </c>
      <c r="H49" s="1011">
        <v>65</v>
      </c>
      <c r="I49" s="1011">
        <v>0</v>
      </c>
      <c r="J49" s="1011">
        <v>0</v>
      </c>
      <c r="K49" s="1055" t="s">
        <v>623</v>
      </c>
      <c r="L49" s="994">
        <v>1</v>
      </c>
      <c r="M49" s="994"/>
      <c r="N49" s="527"/>
    </row>
    <row r="50" spans="1:14" s="405" customFormat="1" ht="13.5" thickBot="1">
      <c r="A50" s="1172"/>
      <c r="B50" s="1173"/>
      <c r="C50" s="1223" t="s">
        <v>118</v>
      </c>
      <c r="D50" s="1445"/>
      <c r="E50" s="1445"/>
      <c r="F50" s="1445"/>
      <c r="G50" s="1559"/>
      <c r="H50" s="995">
        <f>SUM(H49:H49)</f>
        <v>65</v>
      </c>
      <c r="I50" s="996">
        <f>SUM(I49:I49)</f>
        <v>0</v>
      </c>
      <c r="J50" s="996">
        <f>SUM(J49:J49)</f>
        <v>0</v>
      </c>
      <c r="K50" s="148"/>
      <c r="L50" s="170"/>
      <c r="M50" s="170"/>
      <c r="N50" s="255"/>
    </row>
    <row r="51" spans="1:14" s="17" customFormat="1" ht="13.5" thickBot="1">
      <c r="A51" s="1173"/>
      <c r="B51" s="1159" t="s">
        <v>119</v>
      </c>
      <c r="C51" s="1375"/>
      <c r="D51" s="1375"/>
      <c r="E51" s="1375"/>
      <c r="F51" s="1375"/>
      <c r="G51" s="1375"/>
      <c r="H51" s="766">
        <f>H44+H46+H48+H50</f>
        <v>562.5</v>
      </c>
      <c r="I51" s="767">
        <f t="shared" ref="I51:J51" si="6">I44+I46+I48+I50</f>
        <v>23</v>
      </c>
      <c r="J51" s="767">
        <f t="shared" si="6"/>
        <v>0</v>
      </c>
      <c r="K51" s="135"/>
      <c r="L51" s="262"/>
      <c r="M51" s="262"/>
      <c r="N51" s="263"/>
    </row>
    <row r="52" spans="1:14" s="17" customFormat="1" ht="13.5" thickBot="1">
      <c r="A52" s="1297" t="s">
        <v>16</v>
      </c>
      <c r="B52" s="1368"/>
      <c r="C52" s="1368"/>
      <c r="D52" s="1368"/>
      <c r="E52" s="1368"/>
      <c r="F52" s="1368"/>
      <c r="G52" s="1369"/>
      <c r="H52" s="1058">
        <f>H21+H29+H34+H41+H51</f>
        <v>1261.5</v>
      </c>
      <c r="I52" s="1058">
        <f t="shared" ref="I52:J52" si="7">I21+I29+I34+I41+I51</f>
        <v>721.4</v>
      </c>
      <c r="J52" s="1058">
        <f t="shared" si="7"/>
        <v>698.4</v>
      </c>
      <c r="K52" s="418"/>
      <c r="L52" s="432"/>
      <c r="M52" s="432"/>
      <c r="N52" s="433"/>
    </row>
    <row r="53" spans="1:14" s="7" customFormat="1" ht="13.5" thickBot="1">
      <c r="A53" s="1203" t="s">
        <v>17</v>
      </c>
      <c r="B53" s="1370"/>
      <c r="C53" s="1370"/>
      <c r="D53" s="1370"/>
      <c r="E53" s="1370"/>
      <c r="F53" s="1370"/>
      <c r="G53" s="1371"/>
      <c r="H53" s="175">
        <f>H17+H52</f>
        <v>1446</v>
      </c>
      <c r="I53" s="161">
        <f t="shared" ref="I53:J53" si="8">I17+I52</f>
        <v>891.4</v>
      </c>
      <c r="J53" s="161">
        <f t="shared" si="8"/>
        <v>868.4</v>
      </c>
      <c r="K53" s="105"/>
      <c r="L53" s="303"/>
      <c r="M53" s="303"/>
      <c r="N53" s="304"/>
    </row>
    <row r="54" spans="1:14" s="7" customFormat="1" ht="10.5" customHeight="1">
      <c r="A54" s="86"/>
      <c r="B54" s="104"/>
      <c r="C54" s="104"/>
      <c r="D54" s="1130"/>
      <c r="E54" s="32"/>
      <c r="F54" s="31" t="s">
        <v>11</v>
      </c>
      <c r="G54" s="32"/>
      <c r="H54" s="32"/>
      <c r="I54" s="56"/>
      <c r="J54" s="56"/>
      <c r="K54" s="56"/>
      <c r="L54" s="270"/>
      <c r="M54" s="270"/>
      <c r="N54" s="270"/>
    </row>
    <row r="55" spans="1:14" s="10" customFormat="1" ht="10.5" customHeight="1">
      <c r="A55" s="36"/>
      <c r="B55" s="29"/>
      <c r="C55" s="87"/>
      <c r="D55" s="40"/>
      <c r="E55" s="41"/>
      <c r="F55" s="41"/>
      <c r="G55" s="81" t="s">
        <v>124</v>
      </c>
      <c r="H55" s="450">
        <f>SUMIF($G$8:$G$52,"SB",H$8:H$52)</f>
        <v>1158.5999999999999</v>
      </c>
      <c r="I55" s="450">
        <f>SUMIF($G$8:$G$52,"SB",I$8:I$52)</f>
        <v>646</v>
      </c>
      <c r="J55" s="450">
        <f>SUMIF($G$8:$G$52,"SB",J$8:J$52)</f>
        <v>641</v>
      </c>
      <c r="K55" s="318"/>
      <c r="L55" s="271"/>
      <c r="M55" s="271"/>
      <c r="N55" s="271"/>
    </row>
    <row r="56" spans="1:14" s="10" customFormat="1" ht="10.5" customHeight="1">
      <c r="A56" s="36"/>
      <c r="B56" s="127"/>
      <c r="C56" s="55"/>
      <c r="D56" s="40"/>
      <c r="E56" s="41"/>
      <c r="F56" s="41"/>
      <c r="G56" s="81" t="s">
        <v>125</v>
      </c>
      <c r="H56" s="450">
        <f>SUMIF($G$8:$G$52,"VB-STD",H$8:H$52)</f>
        <v>152.9</v>
      </c>
      <c r="I56" s="450">
        <f>SUMIF($G$8:$G$52,"VB-STD",I$8:I$52)</f>
        <v>152.9</v>
      </c>
      <c r="J56" s="450">
        <f>SUMIF($G$8:$G$52,"VB-STD",J$8:J$52)</f>
        <v>152.9</v>
      </c>
      <c r="K56" s="195"/>
      <c r="L56" s="252"/>
      <c r="M56" s="252"/>
      <c r="N56" s="252"/>
    </row>
    <row r="57" spans="1:14" s="10" customFormat="1" ht="10.5" customHeight="1">
      <c r="A57" s="36"/>
      <c r="B57" s="127"/>
      <c r="C57" s="55"/>
      <c r="D57" s="18"/>
      <c r="E57" s="19"/>
      <c r="F57" s="19"/>
      <c r="G57" s="81" t="s">
        <v>126</v>
      </c>
      <c r="H57" s="450">
        <f>SUMIF($G$8:$G$52,"ES",H$8:H$52)</f>
        <v>60</v>
      </c>
      <c r="I57" s="450">
        <f>SUMIF($G$8:$G$52,"ES",I$8:I$52)</f>
        <v>18</v>
      </c>
      <c r="J57" s="450">
        <f>SUMIF($G$8:$G$52,"ES",J$8:J$52)</f>
        <v>0</v>
      </c>
      <c r="K57" s="195"/>
      <c r="L57" s="252"/>
      <c r="M57" s="252"/>
      <c r="N57" s="252"/>
    </row>
    <row r="58" spans="1:14" s="7" customFormat="1" ht="10.5" customHeight="1">
      <c r="A58" s="36"/>
      <c r="B58" s="127"/>
      <c r="C58" s="55"/>
      <c r="D58" s="18"/>
      <c r="E58" s="19"/>
      <c r="F58" s="19"/>
      <c r="G58" s="81" t="s">
        <v>127</v>
      </c>
      <c r="H58" s="318">
        <f>SUMIF($G$8:$G$52,SAARS,H$8:H$52)</f>
        <v>0</v>
      </c>
      <c r="I58" s="318">
        <f>SUMIF($G$8:$G$52,SAARS,I$8:I$52)</f>
        <v>0</v>
      </c>
      <c r="J58" s="318">
        <f>SUMIF($G$8:$G$52,SAARS,J$8:J$52)</f>
        <v>0</v>
      </c>
      <c r="K58" s="195"/>
      <c r="L58" s="252"/>
      <c r="M58" s="252"/>
      <c r="N58" s="252"/>
    </row>
    <row r="59" spans="1:14" s="7" customFormat="1" ht="10.5" customHeight="1">
      <c r="A59" s="36"/>
      <c r="B59" s="127"/>
      <c r="C59" s="55"/>
      <c r="D59" s="18"/>
      <c r="E59" s="19"/>
      <c r="F59" s="19"/>
      <c r="G59" s="81" t="s">
        <v>128</v>
      </c>
      <c r="H59" s="318">
        <f>SUMIF($G$8:$G$52,KPPP,H$8:H$52)</f>
        <v>0</v>
      </c>
      <c r="I59" s="318">
        <f>SUMIF($G$8:$G$52,KPPP,I$8:I$52)</f>
        <v>0</v>
      </c>
      <c r="J59" s="318">
        <f>SUMIF($G$8:$G$52,KPPP,J$8:J$52)</f>
        <v>0</v>
      </c>
      <c r="K59" s="195"/>
      <c r="L59" s="252"/>
      <c r="M59" s="252"/>
      <c r="N59" s="252"/>
    </row>
    <row r="60" spans="1:14" s="7" customFormat="1" ht="10.5" customHeight="1">
      <c r="A60" s="36"/>
      <c r="B60" s="127"/>
      <c r="C60" s="55"/>
      <c r="D60" s="18"/>
      <c r="E60" s="19"/>
      <c r="F60" s="19"/>
      <c r="G60" s="82" t="s">
        <v>129</v>
      </c>
      <c r="H60" s="450">
        <f>SUMIF($G$8:$G$52,"UF",H$8:H$52)</f>
        <v>64.5</v>
      </c>
      <c r="I60" s="450">
        <f>SUMIF($G$8:$G$52,"UF",I$8:I$52)</f>
        <v>64.5</v>
      </c>
      <c r="J60" s="450">
        <f>SUMIF($G$8:$G$52,"UF",J$8:J$52)</f>
        <v>64.5</v>
      </c>
      <c r="K60" s="195"/>
      <c r="L60" s="252"/>
      <c r="M60" s="252"/>
      <c r="N60" s="252"/>
    </row>
    <row r="61" spans="1:14" s="7" customFormat="1" ht="10.5" customHeight="1">
      <c r="A61" s="36"/>
      <c r="B61" s="127"/>
      <c r="C61" s="55"/>
      <c r="D61" s="18"/>
      <c r="E61" s="19"/>
      <c r="F61" s="19"/>
      <c r="G61" s="81" t="s">
        <v>130</v>
      </c>
      <c r="H61" s="318">
        <f>SUMIF($G$8:$G$52,VB,H$8:H$52)</f>
        <v>0</v>
      </c>
      <c r="I61" s="318">
        <f>SUMIF($G$8:$G$52,VB,I$8:I$52)</f>
        <v>0</v>
      </c>
      <c r="J61" s="318">
        <f>SUMIF($G$8:$G$52,VB,J$8:J$52)</f>
        <v>0</v>
      </c>
      <c r="K61" s="195"/>
      <c r="L61" s="252"/>
      <c r="M61" s="252"/>
      <c r="N61" s="252"/>
    </row>
    <row r="62" spans="1:14" s="7" customFormat="1" ht="10.5" customHeight="1">
      <c r="A62" s="36"/>
      <c r="B62" s="127"/>
      <c r="C62" s="55"/>
      <c r="D62" s="18"/>
      <c r="E62" s="19"/>
      <c r="F62" s="19"/>
      <c r="G62" s="81" t="s">
        <v>131</v>
      </c>
      <c r="H62" s="318">
        <f>SUMIF($G$8:$G$52,SL,H$8:H$52)</f>
        <v>0</v>
      </c>
      <c r="I62" s="318">
        <f>SUMIF($G$8:$G$52,SL,I$8:I$52)</f>
        <v>0</v>
      </c>
      <c r="J62" s="318">
        <f>SUMIF($G$8:$G$52,SL,J$8:J$52)</f>
        <v>0</v>
      </c>
      <c r="K62" s="195"/>
      <c r="L62" s="252"/>
      <c r="M62" s="252"/>
      <c r="N62" s="252"/>
    </row>
    <row r="63" spans="1:14" s="7" customFormat="1" ht="10.5" customHeight="1">
      <c r="A63" s="77"/>
      <c r="B63" s="30"/>
      <c r="C63" s="76"/>
      <c r="D63" s="18"/>
      <c r="E63" s="19"/>
      <c r="F63" s="19"/>
      <c r="G63" s="81" t="s">
        <v>132</v>
      </c>
      <c r="H63" s="318">
        <f>SUMIF($G$8:$G$52,PL,H$8:H$52)</f>
        <v>0</v>
      </c>
      <c r="I63" s="318">
        <f>SUMIF($G$8:$G$52,PL,I$8:I$52)</f>
        <v>0</v>
      </c>
      <c r="J63" s="318">
        <f>SUMIF($G$8:$G$52,PL,J$8:J$52)</f>
        <v>0</v>
      </c>
      <c r="K63" s="195"/>
      <c r="L63" s="252"/>
      <c r="M63" s="252"/>
      <c r="N63" s="252"/>
    </row>
    <row r="64" spans="1:14" s="7" customFormat="1" ht="10.5" customHeight="1">
      <c r="A64" s="77"/>
      <c r="B64" s="30"/>
      <c r="C64" s="76"/>
      <c r="D64" s="40"/>
      <c r="E64" s="41"/>
      <c r="F64" s="41"/>
      <c r="G64" s="81" t="s">
        <v>133</v>
      </c>
      <c r="H64" s="450">
        <f>SUMIF($G$8:$G$52,"KL",H$8:H$52)</f>
        <v>10</v>
      </c>
      <c r="I64" s="450">
        <f>SUMIF($G$8:$G$52,"KL",I$8:I$52)</f>
        <v>10</v>
      </c>
      <c r="J64" s="450">
        <f>SUMIF($G$8:$G$52,"KL",J$8:J$52)</f>
        <v>10</v>
      </c>
      <c r="K64" s="318"/>
      <c r="L64" s="271"/>
      <c r="M64" s="271"/>
      <c r="N64" s="271"/>
    </row>
    <row r="65" spans="1:15" s="7" customFormat="1" ht="12.75" customHeight="1">
      <c r="A65" s="36"/>
      <c r="B65" s="1132"/>
      <c r="C65" s="1133"/>
      <c r="D65" s="40"/>
      <c r="E65" s="41"/>
      <c r="F65" s="41"/>
      <c r="G65" s="81" t="s">
        <v>134</v>
      </c>
      <c r="H65" s="318">
        <f>SUMIF($G$8:$G$52,TPP,H$8:H$52)</f>
        <v>0</v>
      </c>
      <c r="I65" s="318">
        <f>SUMIF($G$8:$G$52,TPP,I$8:I$52)</f>
        <v>0</v>
      </c>
      <c r="J65" s="318">
        <f>SUMIF($G$8:$G$52,TPP,J$8:J$52)</f>
        <v>0</v>
      </c>
      <c r="K65" s="195"/>
      <c r="L65" s="252"/>
      <c r="M65" s="252"/>
      <c r="N65" s="252"/>
    </row>
    <row r="66" spans="1:15" s="7" customFormat="1" ht="10.5" customHeight="1">
      <c r="A66" s="116"/>
      <c r="B66" s="13"/>
      <c r="C66" s="13"/>
      <c r="D66" s="13"/>
      <c r="E66" s="13"/>
      <c r="F66" s="13"/>
      <c r="G66" s="83" t="s">
        <v>17</v>
      </c>
      <c r="H66" s="1134">
        <f>SUM(H55:H65)</f>
        <v>1446</v>
      </c>
      <c r="I66" s="1134">
        <f>SUM(I55:I65)</f>
        <v>891.4</v>
      </c>
      <c r="J66" s="1134">
        <f>SUM(J55:J65)</f>
        <v>868.4</v>
      </c>
      <c r="K66" s="117"/>
      <c r="L66" s="272"/>
      <c r="M66" s="1138"/>
      <c r="N66" s="1138"/>
    </row>
    <row r="67" spans="1:15" s="11" customFormat="1">
      <c r="A67" s="37"/>
      <c r="B67" s="12"/>
      <c r="C67" s="12"/>
      <c r="D67" s="12"/>
      <c r="E67" s="12"/>
      <c r="F67" s="12"/>
      <c r="G67" s="13"/>
      <c r="H67" s="12"/>
      <c r="I67" s="64"/>
      <c r="J67" s="65"/>
      <c r="K67" s="65"/>
      <c r="L67" s="291"/>
      <c r="M67" s="1136"/>
      <c r="N67" s="37"/>
      <c r="O67" s="37"/>
    </row>
    <row r="68" spans="1:15" s="11" customFormat="1">
      <c r="A68" s="38"/>
      <c r="B68" s="12"/>
      <c r="C68" s="12"/>
      <c r="D68" s="12"/>
      <c r="E68" s="12"/>
      <c r="F68" s="12"/>
      <c r="G68" s="13"/>
      <c r="H68" s="12"/>
      <c r="L68" s="12"/>
      <c r="M68" s="14"/>
      <c r="N68" s="14"/>
      <c r="O68" s="14"/>
    </row>
    <row r="69" spans="1:15" s="11" customFormat="1">
      <c r="A69" s="38"/>
      <c r="B69" s="12"/>
      <c r="C69" s="12"/>
      <c r="D69" s="12"/>
      <c r="E69" s="12"/>
      <c r="F69" s="12"/>
      <c r="G69" s="13"/>
      <c r="H69" s="12"/>
      <c r="L69" s="12"/>
      <c r="M69" s="37"/>
      <c r="N69" s="37"/>
      <c r="O69" s="14"/>
    </row>
    <row r="70" spans="1:15" s="11" customFormat="1">
      <c r="A70" s="38"/>
      <c r="B70" s="12"/>
      <c r="C70" s="12"/>
      <c r="D70" s="12"/>
      <c r="E70" s="12"/>
      <c r="F70" s="12"/>
      <c r="G70" s="13"/>
      <c r="H70" s="12"/>
      <c r="L70" s="12"/>
      <c r="M70" s="12"/>
      <c r="N70" s="12"/>
    </row>
    <row r="71" spans="1:15" s="11" customFormat="1">
      <c r="A71" s="38"/>
      <c r="B71" s="12"/>
      <c r="C71" s="12"/>
      <c r="D71" s="12"/>
      <c r="E71" s="12"/>
      <c r="F71" s="12"/>
      <c r="G71" s="13"/>
      <c r="H71" s="12"/>
      <c r="L71" s="12"/>
      <c r="M71" s="12"/>
      <c r="N71" s="12"/>
    </row>
    <row r="72" spans="1:15" s="11" customFormat="1">
      <c r="A72" s="38"/>
      <c r="B72" s="12"/>
      <c r="C72" s="12"/>
      <c r="D72" s="12"/>
      <c r="E72" s="12"/>
      <c r="F72" s="12"/>
      <c r="G72" s="13"/>
      <c r="H72" s="12"/>
      <c r="L72" s="12"/>
      <c r="M72" s="12"/>
      <c r="N72" s="12"/>
    </row>
    <row r="73" spans="1:15" s="11" customFormat="1">
      <c r="A73" s="38"/>
      <c r="B73" s="12"/>
      <c r="C73" s="12"/>
      <c r="D73" s="12"/>
      <c r="E73" s="12"/>
      <c r="F73" s="12"/>
      <c r="G73" s="13"/>
      <c r="H73" s="12"/>
      <c r="L73" s="12"/>
      <c r="M73" s="12"/>
      <c r="N73" s="12"/>
    </row>
    <row r="74" spans="1:15" s="11" customFormat="1">
      <c r="A74" s="38"/>
      <c r="B74" s="12"/>
      <c r="C74" s="12"/>
      <c r="D74" s="12"/>
      <c r="E74" s="12"/>
      <c r="F74" s="12"/>
      <c r="G74" s="13"/>
      <c r="H74" s="12"/>
      <c r="L74" s="12"/>
      <c r="M74" s="12"/>
      <c r="N74" s="12"/>
    </row>
    <row r="75" spans="1:15" s="11" customFormat="1">
      <c r="A75" s="38"/>
      <c r="B75" s="12"/>
      <c r="C75" s="12"/>
      <c r="D75" s="12"/>
      <c r="E75" s="12"/>
      <c r="F75" s="12"/>
      <c r="G75" s="13"/>
      <c r="H75" s="12"/>
      <c r="L75" s="12"/>
      <c r="M75" s="12"/>
      <c r="N75" s="12"/>
    </row>
  </sheetData>
  <mergeCells count="86">
    <mergeCell ref="A3:J3"/>
    <mergeCell ref="K3:L3"/>
    <mergeCell ref="H5:H7"/>
    <mergeCell ref="H8:H11"/>
    <mergeCell ref="I5:I7"/>
    <mergeCell ref="J5:J7"/>
    <mergeCell ref="K5:N5"/>
    <mergeCell ref="K6:K7"/>
    <mergeCell ref="L6:N6"/>
    <mergeCell ref="I8:I11"/>
    <mergeCell ref="J8:J11"/>
    <mergeCell ref="H30:H31"/>
    <mergeCell ref="I30:I31"/>
    <mergeCell ref="J30:J31"/>
    <mergeCell ref="A5:A7"/>
    <mergeCell ref="B8:B16"/>
    <mergeCell ref="B5:B7"/>
    <mergeCell ref="C5:C7"/>
    <mergeCell ref="D5:D7"/>
    <mergeCell ref="C16:G16"/>
    <mergeCell ref="E5:E7"/>
    <mergeCell ref="F5:F7"/>
    <mergeCell ref="G5:G7"/>
    <mergeCell ref="C15:G15"/>
    <mergeCell ref="A17:G17"/>
    <mergeCell ref="A8:A16"/>
    <mergeCell ref="C8:E11"/>
    <mergeCell ref="C12:G12"/>
    <mergeCell ref="F8:F11"/>
    <mergeCell ref="G8:G11"/>
    <mergeCell ref="C13:E14"/>
    <mergeCell ref="F13:F14"/>
    <mergeCell ref="G13:G14"/>
    <mergeCell ref="A52:G52"/>
    <mergeCell ref="A53:G53"/>
    <mergeCell ref="B29:G29"/>
    <mergeCell ref="B51:G51"/>
    <mergeCell ref="C23:G23"/>
    <mergeCell ref="C37:E37"/>
    <mergeCell ref="F30:F32"/>
    <mergeCell ref="G30:G31"/>
    <mergeCell ref="B30:B33"/>
    <mergeCell ref="B34:G34"/>
    <mergeCell ref="B35:B40"/>
    <mergeCell ref="C42:E43"/>
    <mergeCell ref="C46:G46"/>
    <mergeCell ref="C47:E47"/>
    <mergeCell ref="C48:G48"/>
    <mergeCell ref="C44:G44"/>
    <mergeCell ref="C25:G25"/>
    <mergeCell ref="C28:G28"/>
    <mergeCell ref="A18:A51"/>
    <mergeCell ref="B41:G41"/>
    <mergeCell ref="C35:E35"/>
    <mergeCell ref="C36:G36"/>
    <mergeCell ref="C33:G33"/>
    <mergeCell ref="C30:E32"/>
    <mergeCell ref="C38:G38"/>
    <mergeCell ref="C49:E49"/>
    <mergeCell ref="C50:G50"/>
    <mergeCell ref="B42:B50"/>
    <mergeCell ref="C39:E39"/>
    <mergeCell ref="C40:G40"/>
    <mergeCell ref="F42:F43"/>
    <mergeCell ref="C45:E45"/>
    <mergeCell ref="H13:H14"/>
    <mergeCell ref="I13:I14"/>
    <mergeCell ref="J13:J14"/>
    <mergeCell ref="K18:K19"/>
    <mergeCell ref="L18:L19"/>
    <mergeCell ref="M18:M19"/>
    <mergeCell ref="N18:N19"/>
    <mergeCell ref="C26:E27"/>
    <mergeCell ref="F26:F27"/>
    <mergeCell ref="G26:G27"/>
    <mergeCell ref="H26:H27"/>
    <mergeCell ref="I26:I27"/>
    <mergeCell ref="J26:J27"/>
    <mergeCell ref="C18:E19"/>
    <mergeCell ref="B21:G21"/>
    <mergeCell ref="C20:G20"/>
    <mergeCell ref="F18:F19"/>
    <mergeCell ref="C22:E22"/>
    <mergeCell ref="B18:B20"/>
    <mergeCell ref="B22:B28"/>
    <mergeCell ref="C24:E24"/>
  </mergeCells>
  <phoneticPr fontId="6" type="noConversion"/>
  <pageMargins left="0.41" right="0.4" top="0.57999999999999996" bottom="0.4" header="0" footer="0"/>
  <pageSetup paperSize="9" scale="96" fitToHeight="0" orientation="landscape" r:id="rId1"/>
  <headerFooter alignWithMargins="0">
    <oddHeader>&amp;C4.1.-&amp;P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3"/>
  <sheetViews>
    <sheetView topLeftCell="A43" zoomScaleNormal="100" zoomScaleSheetLayoutView="100" workbookViewId="0">
      <selection activeCell="Q42" sqref="Q42"/>
    </sheetView>
  </sheetViews>
  <sheetFormatPr defaultColWidth="7.85546875" defaultRowHeight="12.75"/>
  <cols>
    <col min="1" max="1" width="6.5703125" style="5" customWidth="1"/>
    <col min="2" max="2" width="11.140625" style="2" customWidth="1"/>
    <col min="3" max="5" width="8.7109375" style="2" customWidth="1"/>
    <col min="6" max="6" width="10.42578125" style="2" customWidth="1"/>
    <col min="7" max="7" width="8.7109375" style="8" customWidth="1"/>
    <col min="8" max="8" width="8.7109375" style="2" customWidth="1"/>
    <col min="9" max="10" width="8.7109375" style="3" customWidth="1"/>
    <col min="11" max="11" width="33.85546875" style="3" customWidth="1"/>
    <col min="12" max="14" width="8.5703125" style="3" customWidth="1"/>
    <col min="15" max="16384" width="7.85546875" style="3"/>
  </cols>
  <sheetData>
    <row r="1" spans="1:15" ht="15.75">
      <c r="A1" s="73" t="s">
        <v>463</v>
      </c>
      <c r="B1" s="70"/>
      <c r="C1" s="70"/>
      <c r="D1" s="70"/>
      <c r="E1" s="70"/>
      <c r="F1" s="70"/>
      <c r="G1" s="70"/>
      <c r="H1" s="70"/>
      <c r="I1" s="70"/>
      <c r="J1" s="70"/>
      <c r="K1" s="3" t="s">
        <v>464</v>
      </c>
    </row>
    <row r="2" spans="1:15" ht="15.75">
      <c r="A2" s="72" t="s">
        <v>147</v>
      </c>
      <c r="B2" s="71"/>
      <c r="C2" s="71"/>
      <c r="D2" s="71"/>
      <c r="E2" s="71"/>
      <c r="F2" s="71"/>
      <c r="G2" s="71"/>
      <c r="H2" s="71"/>
      <c r="I2" s="71"/>
      <c r="J2" s="71"/>
      <c r="K2" s="3" t="s">
        <v>107</v>
      </c>
    </row>
    <row r="3" spans="1:15" ht="34.5" customHeight="1">
      <c r="A3" s="1532" t="s">
        <v>117</v>
      </c>
      <c r="B3" s="1532"/>
      <c r="C3" s="1532"/>
      <c r="D3" s="1532"/>
      <c r="E3" s="1532"/>
      <c r="F3" s="1532"/>
      <c r="G3" s="1532"/>
      <c r="H3" s="1532"/>
      <c r="I3" s="1532"/>
      <c r="J3" s="1532"/>
      <c r="K3" s="1025" t="s">
        <v>829</v>
      </c>
    </row>
    <row r="4" spans="1:15" ht="5.25" customHeight="1" thickBot="1">
      <c r="A4" s="4"/>
      <c r="B4" s="4"/>
      <c r="C4" s="4"/>
      <c r="D4" s="4"/>
      <c r="E4" s="4"/>
      <c r="F4" s="4"/>
      <c r="G4" s="9"/>
      <c r="H4" s="4"/>
      <c r="I4" s="4"/>
      <c r="J4" s="4"/>
    </row>
    <row r="5" spans="1:15" ht="13.5" customHeight="1">
      <c r="A5" s="1274" t="s">
        <v>110</v>
      </c>
      <c r="B5" s="1251" t="s">
        <v>111</v>
      </c>
      <c r="C5" s="1251" t="s">
        <v>112</v>
      </c>
      <c r="D5" s="1251" t="s">
        <v>47</v>
      </c>
      <c r="E5" s="1251" t="s">
        <v>113</v>
      </c>
      <c r="F5" s="1251" t="s">
        <v>14</v>
      </c>
      <c r="G5" s="1257" t="s">
        <v>114</v>
      </c>
      <c r="H5" s="1251" t="s">
        <v>814</v>
      </c>
      <c r="I5" s="1254" t="s">
        <v>815</v>
      </c>
      <c r="J5" s="1248" t="s">
        <v>816</v>
      </c>
      <c r="K5" s="1240" t="s">
        <v>115</v>
      </c>
      <c r="L5" s="1241"/>
      <c r="M5" s="1241"/>
      <c r="N5" s="1242"/>
    </row>
    <row r="6" spans="1:15" ht="13.5" customHeight="1">
      <c r="A6" s="1275"/>
      <c r="B6" s="1252"/>
      <c r="C6" s="1252"/>
      <c r="D6" s="1252"/>
      <c r="E6" s="1252"/>
      <c r="F6" s="1252"/>
      <c r="G6" s="1258"/>
      <c r="H6" s="1252"/>
      <c r="I6" s="1255"/>
      <c r="J6" s="1249"/>
      <c r="K6" s="1243" t="s">
        <v>47</v>
      </c>
      <c r="L6" s="1520" t="s">
        <v>116</v>
      </c>
      <c r="M6" s="1521"/>
      <c r="N6" s="1522"/>
    </row>
    <row r="7" spans="1:15" ht="173.25" customHeight="1" thickBot="1">
      <c r="A7" s="1276"/>
      <c r="B7" s="1253"/>
      <c r="C7" s="1253"/>
      <c r="D7" s="1253"/>
      <c r="E7" s="1253"/>
      <c r="F7" s="1253"/>
      <c r="G7" s="1259"/>
      <c r="H7" s="1253"/>
      <c r="I7" s="1256"/>
      <c r="J7" s="1250"/>
      <c r="K7" s="1244"/>
      <c r="L7" s="197" t="s">
        <v>138</v>
      </c>
      <c r="M7" s="197" t="s">
        <v>256</v>
      </c>
      <c r="N7" s="198" t="s">
        <v>452</v>
      </c>
      <c r="O7" s="435"/>
    </row>
    <row r="8" spans="1:15" s="7" customFormat="1" ht="21.75" customHeight="1">
      <c r="A8" s="1400" t="s">
        <v>101</v>
      </c>
      <c r="B8" s="1171" t="s">
        <v>634</v>
      </c>
      <c r="C8" s="1309" t="s">
        <v>148</v>
      </c>
      <c r="D8" s="1310"/>
      <c r="E8" s="1310"/>
      <c r="F8" s="1412" t="s">
        <v>171</v>
      </c>
      <c r="G8" s="1149" t="s">
        <v>121</v>
      </c>
      <c r="H8" s="1151">
        <v>5.0999999999999996</v>
      </c>
      <c r="I8" s="1151">
        <f>H8*1.006</f>
        <v>5.1305999999999994</v>
      </c>
      <c r="J8" s="1151">
        <f>I8*1.006</f>
        <v>5.1613835999999997</v>
      </c>
      <c r="K8" s="757" t="s">
        <v>312</v>
      </c>
      <c r="L8" s="758">
        <v>1</v>
      </c>
      <c r="M8" s="758">
        <v>1</v>
      </c>
      <c r="N8" s="759">
        <v>1</v>
      </c>
    </row>
    <row r="9" spans="1:15" s="192" customFormat="1" ht="21" customHeight="1" thickBot="1">
      <c r="A9" s="1400"/>
      <c r="B9" s="1487"/>
      <c r="C9" s="1311"/>
      <c r="D9" s="1312"/>
      <c r="E9" s="1312"/>
      <c r="F9" s="1183"/>
      <c r="G9" s="1362"/>
      <c r="H9" s="1170"/>
      <c r="I9" s="1170"/>
      <c r="J9" s="1170"/>
      <c r="K9" s="760" t="s">
        <v>313</v>
      </c>
      <c r="L9" s="761">
        <v>3</v>
      </c>
      <c r="M9" s="761">
        <v>3</v>
      </c>
      <c r="N9" s="762">
        <v>3</v>
      </c>
    </row>
    <row r="10" spans="1:15" s="7" customFormat="1" ht="13.5" thickBot="1">
      <c r="A10" s="1400"/>
      <c r="B10" s="1585"/>
      <c r="C10" s="1423" t="s">
        <v>118</v>
      </c>
      <c r="D10" s="1488"/>
      <c r="E10" s="1488"/>
      <c r="F10" s="1488"/>
      <c r="G10" s="1489"/>
      <c r="H10" s="175">
        <f>SUM(H8)</f>
        <v>5.0999999999999996</v>
      </c>
      <c r="I10" s="161">
        <f>SUM(I8)</f>
        <v>5.1305999999999994</v>
      </c>
      <c r="J10" s="161">
        <f>SUM(J8)</f>
        <v>5.1613835999999997</v>
      </c>
      <c r="K10" s="155"/>
      <c r="L10" s="206"/>
      <c r="M10" s="206"/>
      <c r="N10" s="207"/>
    </row>
    <row r="11" spans="1:15" s="7" customFormat="1" ht="13.5" thickBot="1">
      <c r="A11" s="1400"/>
      <c r="B11" s="1153" t="s">
        <v>119</v>
      </c>
      <c r="C11" s="1587"/>
      <c r="D11" s="1587"/>
      <c r="E11" s="1587"/>
      <c r="F11" s="1587"/>
      <c r="G11" s="1588"/>
      <c r="H11" s="175">
        <f>H10</f>
        <v>5.0999999999999996</v>
      </c>
      <c r="I11" s="161">
        <f>I10</f>
        <v>5.1305999999999994</v>
      </c>
      <c r="J11" s="161">
        <f>J10</f>
        <v>5.1613835999999997</v>
      </c>
      <c r="K11" s="139"/>
      <c r="L11" s="139"/>
      <c r="M11" s="139"/>
      <c r="N11" s="200"/>
    </row>
    <row r="12" spans="1:15" s="7" customFormat="1" ht="22.5" customHeight="1">
      <c r="A12" s="1400"/>
      <c r="B12" s="1171" t="s">
        <v>635</v>
      </c>
      <c r="C12" s="1165" t="s">
        <v>77</v>
      </c>
      <c r="D12" s="1166"/>
      <c r="E12" s="1167"/>
      <c r="F12" s="1439" t="s">
        <v>171</v>
      </c>
      <c r="G12" s="1197" t="s">
        <v>121</v>
      </c>
      <c r="H12" s="1199">
        <v>4</v>
      </c>
      <c r="I12" s="1374">
        <f>H12*1.006</f>
        <v>4.024</v>
      </c>
      <c r="J12" s="1374">
        <f>I12*1.006</f>
        <v>4.0481439999999997</v>
      </c>
      <c r="K12" s="763" t="s">
        <v>314</v>
      </c>
      <c r="L12" s="461">
        <v>190</v>
      </c>
      <c r="M12" s="461">
        <v>200</v>
      </c>
      <c r="N12" s="462">
        <v>200</v>
      </c>
    </row>
    <row r="13" spans="1:15" s="192" customFormat="1" ht="22.5" customHeight="1">
      <c r="A13" s="1400"/>
      <c r="B13" s="1487"/>
      <c r="C13" s="1452"/>
      <c r="D13" s="1574"/>
      <c r="E13" s="1323"/>
      <c r="F13" s="1566"/>
      <c r="G13" s="1463"/>
      <c r="H13" s="1200"/>
      <c r="I13" s="1229"/>
      <c r="J13" s="1229"/>
      <c r="K13" s="754" t="s">
        <v>315</v>
      </c>
      <c r="L13" s="475">
        <v>470</v>
      </c>
      <c r="M13" s="475">
        <v>470</v>
      </c>
      <c r="N13" s="764">
        <v>500</v>
      </c>
    </row>
    <row r="14" spans="1:15" s="192" customFormat="1" ht="26.25" customHeight="1" thickBot="1">
      <c r="A14" s="1400"/>
      <c r="B14" s="1487"/>
      <c r="C14" s="1230"/>
      <c r="D14" s="1231"/>
      <c r="E14" s="1232"/>
      <c r="F14" s="1381"/>
      <c r="G14" s="1346"/>
      <c r="H14" s="1146"/>
      <c r="I14" s="1202"/>
      <c r="J14" s="1202"/>
      <c r="K14" s="754" t="s">
        <v>316</v>
      </c>
      <c r="L14" s="478">
        <v>500</v>
      </c>
      <c r="M14" s="478">
        <v>930</v>
      </c>
      <c r="N14" s="463">
        <v>520</v>
      </c>
    </row>
    <row r="15" spans="1:15" s="7" customFormat="1" ht="13.5" thickBot="1">
      <c r="A15" s="1400"/>
      <c r="B15" s="1585"/>
      <c r="C15" s="1423" t="s">
        <v>118</v>
      </c>
      <c r="D15" s="1488"/>
      <c r="E15" s="1488"/>
      <c r="F15" s="1488"/>
      <c r="G15" s="1489"/>
      <c r="H15" s="175">
        <f>SUM(H12)</f>
        <v>4</v>
      </c>
      <c r="I15" s="161">
        <f>SUM(I12)</f>
        <v>4.024</v>
      </c>
      <c r="J15" s="161">
        <f>SUM(J12)</f>
        <v>4.0481439999999997</v>
      </c>
      <c r="K15" s="155"/>
      <c r="L15" s="139"/>
      <c r="M15" s="139"/>
      <c r="N15" s="200"/>
    </row>
    <row r="16" spans="1:15" s="7" customFormat="1" ht="13.5" thickBot="1">
      <c r="A16" s="1400"/>
      <c r="B16" s="1159" t="s">
        <v>119</v>
      </c>
      <c r="C16" s="1264"/>
      <c r="D16" s="1264"/>
      <c r="E16" s="1264"/>
      <c r="F16" s="1264"/>
      <c r="G16" s="1265"/>
      <c r="H16" s="175">
        <f>H15</f>
        <v>4</v>
      </c>
      <c r="I16" s="175">
        <f>I15</f>
        <v>4.024</v>
      </c>
      <c r="J16" s="161">
        <f>J15</f>
        <v>4.0481439999999997</v>
      </c>
      <c r="K16" s="155"/>
      <c r="L16" s="139"/>
      <c r="M16" s="139"/>
      <c r="N16" s="200"/>
    </row>
    <row r="17" spans="1:14" s="7" customFormat="1" ht="13.5" thickBot="1">
      <c r="A17" s="1217" t="s">
        <v>303</v>
      </c>
      <c r="B17" s="1370"/>
      <c r="C17" s="1370"/>
      <c r="D17" s="1370"/>
      <c r="E17" s="1370"/>
      <c r="F17" s="1370"/>
      <c r="G17" s="1371"/>
      <c r="H17" s="187">
        <f>H11+H16</f>
        <v>9.1</v>
      </c>
      <c r="I17" s="187">
        <f t="shared" ref="I17:J17" si="0">I11+I16</f>
        <v>9.1545999999999985</v>
      </c>
      <c r="J17" s="187">
        <f t="shared" si="0"/>
        <v>9.2095275999999995</v>
      </c>
      <c r="K17" s="182"/>
      <c r="L17" s="182"/>
      <c r="M17" s="182"/>
      <c r="N17" s="208"/>
    </row>
    <row r="18" spans="1:14" s="7" customFormat="1" ht="19.5" customHeight="1">
      <c r="A18" s="1171" t="s">
        <v>149</v>
      </c>
      <c r="B18" s="1171" t="s">
        <v>102</v>
      </c>
      <c r="C18" s="1340" t="s">
        <v>54</v>
      </c>
      <c r="D18" s="1340"/>
      <c r="E18" s="1341"/>
      <c r="F18" s="1439" t="s">
        <v>171</v>
      </c>
      <c r="G18" s="1197" t="s">
        <v>121</v>
      </c>
      <c r="H18" s="1199">
        <f>50+9</f>
        <v>59</v>
      </c>
      <c r="I18" s="1199">
        <f>H18*1.006</f>
        <v>59.353999999999999</v>
      </c>
      <c r="J18" s="1199">
        <f>I18*1.006</f>
        <v>59.710124</v>
      </c>
      <c r="K18" s="754" t="s">
        <v>317</v>
      </c>
      <c r="L18" s="534">
        <v>25</v>
      </c>
      <c r="M18" s="534">
        <v>25</v>
      </c>
      <c r="N18" s="535">
        <v>25</v>
      </c>
    </row>
    <row r="19" spans="1:14" s="7" customFormat="1" ht="30" customHeight="1" thickBot="1">
      <c r="A19" s="1172"/>
      <c r="B19" s="1172"/>
      <c r="C19" s="1174"/>
      <c r="D19" s="1174"/>
      <c r="E19" s="1175"/>
      <c r="F19" s="1202"/>
      <c r="G19" s="1581"/>
      <c r="H19" s="1582"/>
      <c r="I19" s="1582"/>
      <c r="J19" s="1582"/>
      <c r="K19" s="780" t="s">
        <v>636</v>
      </c>
      <c r="L19" s="565">
        <v>4</v>
      </c>
      <c r="M19" s="565">
        <v>4</v>
      </c>
      <c r="N19" s="781">
        <v>4</v>
      </c>
    </row>
    <row r="20" spans="1:14" s="7" customFormat="1" ht="15" customHeight="1" thickBot="1">
      <c r="A20" s="1172"/>
      <c r="B20" s="1172"/>
      <c r="C20" s="1185" t="s">
        <v>118</v>
      </c>
      <c r="D20" s="1154"/>
      <c r="E20" s="1154"/>
      <c r="F20" s="1154"/>
      <c r="G20" s="1155"/>
      <c r="H20" s="766">
        <f>SUM(H18:H19)</f>
        <v>59</v>
      </c>
      <c r="I20" s="767">
        <f>SUM(I18:I19)</f>
        <v>59.353999999999999</v>
      </c>
      <c r="J20" s="767">
        <f>SUM(J18:J19)</f>
        <v>59.710124</v>
      </c>
      <c r="K20" s="155"/>
      <c r="L20" s="139"/>
      <c r="M20" s="139"/>
      <c r="N20" s="200"/>
    </row>
    <row r="21" spans="1:14" s="7" customFormat="1">
      <c r="A21" s="1172"/>
      <c r="B21" s="1172"/>
      <c r="C21" s="1174" t="s">
        <v>56</v>
      </c>
      <c r="D21" s="1174"/>
      <c r="E21" s="1175"/>
      <c r="F21" s="1439" t="s">
        <v>171</v>
      </c>
      <c r="G21" s="1197" t="s">
        <v>121</v>
      </c>
      <c r="H21" s="1583">
        <v>10</v>
      </c>
      <c r="I21" s="1199">
        <f>H21*1.006</f>
        <v>10.06</v>
      </c>
      <c r="J21" s="1199">
        <f>I21*1.006</f>
        <v>10.12036</v>
      </c>
      <c r="K21" s="754" t="s">
        <v>318</v>
      </c>
      <c r="L21" s="534">
        <v>14</v>
      </c>
      <c r="M21" s="534">
        <v>15</v>
      </c>
      <c r="N21" s="535">
        <v>16</v>
      </c>
    </row>
    <row r="22" spans="1:14" s="7" customFormat="1" ht="23.25" thickBot="1">
      <c r="A22" s="1172"/>
      <c r="B22" s="1172"/>
      <c r="C22" s="1174"/>
      <c r="D22" s="1174"/>
      <c r="E22" s="1175"/>
      <c r="F22" s="1202"/>
      <c r="G22" s="1581"/>
      <c r="H22" s="1584"/>
      <c r="I22" s="1582"/>
      <c r="J22" s="1582"/>
      <c r="K22" s="780" t="s">
        <v>637</v>
      </c>
      <c r="L22" s="565">
        <v>3</v>
      </c>
      <c r="M22" s="565">
        <v>3</v>
      </c>
      <c r="N22" s="781">
        <v>3</v>
      </c>
    </row>
    <row r="23" spans="1:14" s="7" customFormat="1" ht="15" customHeight="1" thickBot="1">
      <c r="A23" s="1172"/>
      <c r="B23" s="1172"/>
      <c r="C23" s="1159" t="s">
        <v>118</v>
      </c>
      <c r="D23" s="1160"/>
      <c r="E23" s="1160"/>
      <c r="F23" s="1160"/>
      <c r="G23" s="1164"/>
      <c r="H23" s="755">
        <f>SUM(H21:H22)</f>
        <v>10</v>
      </c>
      <c r="I23" s="756">
        <f>SUM(I21:I22)</f>
        <v>10.06</v>
      </c>
      <c r="J23" s="756">
        <f>SUM(J21:J22)</f>
        <v>10.12036</v>
      </c>
      <c r="K23" s="323"/>
      <c r="L23" s="311"/>
      <c r="M23" s="311"/>
      <c r="N23" s="312"/>
    </row>
    <row r="24" spans="1:14" s="7" customFormat="1" ht="25.5" customHeight="1">
      <c r="A24" s="1172"/>
      <c r="B24" s="1172"/>
      <c r="C24" s="1165" t="s">
        <v>55</v>
      </c>
      <c r="D24" s="1166"/>
      <c r="E24" s="1166"/>
      <c r="F24" s="1439" t="s">
        <v>171</v>
      </c>
      <c r="G24" s="1149" t="s">
        <v>121</v>
      </c>
      <c r="H24" s="1151">
        <v>55</v>
      </c>
      <c r="I24" s="1367">
        <f>H24*1.006</f>
        <v>55.33</v>
      </c>
      <c r="J24" s="1367">
        <f>I24*1.006</f>
        <v>55.66198</v>
      </c>
      <c r="K24" s="757" t="s">
        <v>638</v>
      </c>
      <c r="L24" s="774">
        <v>3</v>
      </c>
      <c r="M24" s="774">
        <v>4</v>
      </c>
      <c r="N24" s="775">
        <v>5</v>
      </c>
    </row>
    <row r="25" spans="1:14" s="220" customFormat="1" ht="3" hidden="1" customHeight="1">
      <c r="A25" s="1172"/>
      <c r="B25" s="1172"/>
      <c r="C25" s="1452"/>
      <c r="D25" s="1322"/>
      <c r="E25" s="1322"/>
      <c r="F25" s="1596"/>
      <c r="G25" s="1597"/>
      <c r="H25" s="1598"/>
      <c r="I25" s="1599"/>
      <c r="J25" s="1599"/>
      <c r="K25" s="1589" t="s">
        <v>639</v>
      </c>
      <c r="L25" s="1590">
        <v>7</v>
      </c>
      <c r="M25" s="1590">
        <v>7</v>
      </c>
      <c r="N25" s="1592">
        <v>7</v>
      </c>
    </row>
    <row r="26" spans="1:14" s="319" customFormat="1" ht="27" customHeight="1" thickBot="1">
      <c r="A26" s="1172"/>
      <c r="B26" s="1172"/>
      <c r="C26" s="1230"/>
      <c r="D26" s="1231"/>
      <c r="E26" s="1231"/>
      <c r="F26" s="1381"/>
      <c r="G26" s="1101" t="s">
        <v>143</v>
      </c>
      <c r="H26" s="777">
        <v>148</v>
      </c>
      <c r="I26" s="778">
        <v>121</v>
      </c>
      <c r="J26" s="1106">
        <v>0</v>
      </c>
      <c r="K26" s="1163"/>
      <c r="L26" s="1591"/>
      <c r="M26" s="1591"/>
      <c r="N26" s="1593"/>
    </row>
    <row r="27" spans="1:14" s="7" customFormat="1" ht="13.5" thickBot="1">
      <c r="A27" s="1172"/>
      <c r="B27" s="1172"/>
      <c r="C27" s="1153" t="s">
        <v>118</v>
      </c>
      <c r="D27" s="1594"/>
      <c r="E27" s="1594"/>
      <c r="F27" s="1594"/>
      <c r="G27" s="1595"/>
      <c r="H27" s="766">
        <f>SUM(H24:H26)</f>
        <v>203</v>
      </c>
      <c r="I27" s="767">
        <f>SUM(I24:I26)</f>
        <v>176.32999999999998</v>
      </c>
      <c r="J27" s="767">
        <f>SUM(J24:J26)</f>
        <v>55.66198</v>
      </c>
      <c r="K27" s="155"/>
      <c r="L27" s="136"/>
      <c r="M27" s="136"/>
      <c r="N27" s="137"/>
    </row>
    <row r="28" spans="1:14" s="7" customFormat="1" ht="26.25" customHeight="1" thickBot="1">
      <c r="A28" s="1172"/>
      <c r="B28" s="1172"/>
      <c r="C28" s="1340" t="s">
        <v>150</v>
      </c>
      <c r="D28" s="1166"/>
      <c r="E28" s="1167"/>
      <c r="F28" s="850" t="s">
        <v>171</v>
      </c>
      <c r="G28" s="862" t="s">
        <v>121</v>
      </c>
      <c r="H28" s="553">
        <v>10</v>
      </c>
      <c r="I28" s="553">
        <v>0</v>
      </c>
      <c r="J28" s="553">
        <v>0</v>
      </c>
      <c r="K28" s="731" t="s">
        <v>319</v>
      </c>
      <c r="L28" s="558">
        <v>18.5</v>
      </c>
      <c r="M28" s="558"/>
      <c r="N28" s="779"/>
    </row>
    <row r="29" spans="1:14" s="7" customFormat="1" ht="13.5" thickBot="1">
      <c r="A29" s="1172"/>
      <c r="B29" s="1172"/>
      <c r="C29" s="1153" t="s">
        <v>118</v>
      </c>
      <c r="D29" s="1594"/>
      <c r="E29" s="1594"/>
      <c r="F29" s="1594"/>
      <c r="G29" s="1595"/>
      <c r="H29" s="766">
        <f>SUM(H28)</f>
        <v>10</v>
      </c>
      <c r="I29" s="767">
        <f>SUM(I28)</f>
        <v>0</v>
      </c>
      <c r="J29" s="767">
        <f>SUM(J28)</f>
        <v>0</v>
      </c>
      <c r="K29" s="139"/>
      <c r="L29" s="136"/>
      <c r="M29" s="136"/>
      <c r="N29" s="137"/>
    </row>
    <row r="30" spans="1:14" s="7" customFormat="1" ht="30" customHeight="1" thickBot="1">
      <c r="A30" s="1172"/>
      <c r="B30" s="1172"/>
      <c r="C30" s="1299" t="s">
        <v>236</v>
      </c>
      <c r="D30" s="1174"/>
      <c r="E30" s="1174"/>
      <c r="F30" s="849" t="s">
        <v>171</v>
      </c>
      <c r="G30" s="842" t="s">
        <v>135</v>
      </c>
      <c r="H30" s="537">
        <v>134</v>
      </c>
      <c r="I30" s="537">
        <f>H30*1.006</f>
        <v>134.804</v>
      </c>
      <c r="J30" s="537">
        <f>I30*1.006</f>
        <v>135.61282399999999</v>
      </c>
      <c r="K30" s="754" t="s">
        <v>320</v>
      </c>
      <c r="L30" s="534">
        <v>1</v>
      </c>
      <c r="M30" s="534">
        <v>1</v>
      </c>
      <c r="N30" s="535">
        <v>1</v>
      </c>
    </row>
    <row r="31" spans="1:14" s="7" customFormat="1" ht="13.5" thickBot="1">
      <c r="A31" s="1172"/>
      <c r="B31" s="1172"/>
      <c r="C31" s="1153" t="s">
        <v>118</v>
      </c>
      <c r="D31" s="1154"/>
      <c r="E31" s="1154"/>
      <c r="F31" s="1154"/>
      <c r="G31" s="1155"/>
      <c r="H31" s="755">
        <f>SUM(H30:H30)</f>
        <v>134</v>
      </c>
      <c r="I31" s="756">
        <f>SUM(I30:I30)</f>
        <v>134.804</v>
      </c>
      <c r="J31" s="756">
        <f>SUM(J30:J30)</f>
        <v>135.61282399999999</v>
      </c>
      <c r="K31" s="174"/>
      <c r="L31" s="311"/>
      <c r="M31" s="311"/>
      <c r="N31" s="312"/>
    </row>
    <row r="32" spans="1:14" s="7" customFormat="1" ht="13.5" thickBot="1">
      <c r="A32" s="1173"/>
      <c r="B32" s="1185" t="s">
        <v>119</v>
      </c>
      <c r="C32" s="1305"/>
      <c r="D32" s="1305"/>
      <c r="E32" s="1305"/>
      <c r="F32" s="1305"/>
      <c r="G32" s="1305"/>
      <c r="H32" s="175">
        <f>H31+H29+H27+H23+H20</f>
        <v>416</v>
      </c>
      <c r="I32" s="161">
        <f>I31+I29+I27+I23+I20</f>
        <v>380.548</v>
      </c>
      <c r="J32" s="161">
        <f>J31+J29+J27+J23+J20</f>
        <v>261.10528799999997</v>
      </c>
      <c r="K32" s="139"/>
      <c r="L32" s="139"/>
      <c r="M32" s="139"/>
      <c r="N32" s="200"/>
    </row>
    <row r="33" spans="1:14" s="7" customFormat="1" ht="13.5" thickBot="1">
      <c r="A33" s="1217" t="s">
        <v>16</v>
      </c>
      <c r="B33" s="1370"/>
      <c r="C33" s="1518"/>
      <c r="D33" s="1518"/>
      <c r="E33" s="1518"/>
      <c r="F33" s="1518"/>
      <c r="G33" s="1586"/>
      <c r="H33" s="401">
        <f>H32</f>
        <v>416</v>
      </c>
      <c r="I33" s="398">
        <f>I32</f>
        <v>380.548</v>
      </c>
      <c r="J33" s="398">
        <f>J32</f>
        <v>261.10528799999997</v>
      </c>
      <c r="K33" s="439"/>
      <c r="L33" s="439"/>
      <c r="M33" s="439"/>
      <c r="N33" s="440"/>
    </row>
    <row r="34" spans="1:14" s="7" customFormat="1" ht="22.5" customHeight="1">
      <c r="A34" s="1184" t="s">
        <v>42</v>
      </c>
      <c r="B34" s="1171" t="s">
        <v>640</v>
      </c>
      <c r="C34" s="1165" t="s">
        <v>821</v>
      </c>
      <c r="D34" s="1166"/>
      <c r="E34" s="1167"/>
      <c r="F34" s="1507" t="s">
        <v>171</v>
      </c>
      <c r="G34" s="543" t="s">
        <v>121</v>
      </c>
      <c r="H34" s="769">
        <v>103</v>
      </c>
      <c r="I34" s="555">
        <v>2</v>
      </c>
      <c r="J34" s="555">
        <v>0</v>
      </c>
      <c r="K34" s="554" t="s">
        <v>641</v>
      </c>
      <c r="L34" s="461"/>
      <c r="M34" s="552">
        <v>1</v>
      </c>
      <c r="N34" s="637"/>
    </row>
    <row r="35" spans="1:14" s="319" customFormat="1" ht="14.25" customHeight="1" thickBot="1">
      <c r="A35" s="1184"/>
      <c r="B35" s="1184"/>
      <c r="C35" s="1452"/>
      <c r="D35" s="1322"/>
      <c r="E35" s="1323"/>
      <c r="F35" s="1163"/>
      <c r="G35" s="561" t="s">
        <v>143</v>
      </c>
      <c r="H35" s="773">
        <v>191.2</v>
      </c>
      <c r="I35" s="563">
        <v>5</v>
      </c>
      <c r="J35" s="563">
        <v>0</v>
      </c>
      <c r="K35" s="413" t="s">
        <v>596</v>
      </c>
      <c r="L35" s="560">
        <v>90</v>
      </c>
      <c r="M35" s="494">
        <v>100</v>
      </c>
      <c r="N35" s="765"/>
    </row>
    <row r="36" spans="1:14" s="7" customFormat="1" ht="13.5" thickBot="1">
      <c r="A36" s="1172"/>
      <c r="B36" s="1172"/>
      <c r="C36" s="1153" t="s">
        <v>118</v>
      </c>
      <c r="D36" s="1154"/>
      <c r="E36" s="1154"/>
      <c r="F36" s="1154"/>
      <c r="G36" s="1155"/>
      <c r="H36" s="766">
        <f>SUM(H34:H35)</f>
        <v>294.2</v>
      </c>
      <c r="I36" s="767">
        <f>SUM(I34:I35)</f>
        <v>7</v>
      </c>
      <c r="J36" s="767">
        <f>SUM(J34:J35)</f>
        <v>0</v>
      </c>
      <c r="K36" s="441"/>
      <c r="L36" s="209"/>
      <c r="M36" s="149"/>
      <c r="N36" s="171"/>
    </row>
    <row r="37" spans="1:14" s="436" customFormat="1" ht="24.75" customHeight="1">
      <c r="A37" s="1172"/>
      <c r="B37" s="1172"/>
      <c r="C37" s="1165" t="s">
        <v>822</v>
      </c>
      <c r="D37" s="1166"/>
      <c r="E37" s="1167"/>
      <c r="F37" s="1507" t="s">
        <v>171</v>
      </c>
      <c r="G37" s="543" t="s">
        <v>121</v>
      </c>
      <c r="H37" s="769">
        <v>97.5</v>
      </c>
      <c r="I37" s="555">
        <v>3</v>
      </c>
      <c r="J37" s="854">
        <v>0</v>
      </c>
      <c r="K37" s="554" t="s">
        <v>641</v>
      </c>
      <c r="L37" s="461"/>
      <c r="M37" s="552">
        <v>1</v>
      </c>
      <c r="N37" s="637"/>
    </row>
    <row r="38" spans="1:14" s="436" customFormat="1" ht="28.5" customHeight="1" thickBot="1">
      <c r="A38" s="1172"/>
      <c r="B38" s="1172"/>
      <c r="C38" s="1230"/>
      <c r="D38" s="1231"/>
      <c r="E38" s="1232"/>
      <c r="F38" s="1163"/>
      <c r="G38" s="498" t="s">
        <v>143</v>
      </c>
      <c r="H38" s="770">
        <v>186</v>
      </c>
      <c r="I38" s="512">
        <v>10</v>
      </c>
      <c r="J38" s="512">
        <v>0</v>
      </c>
      <c r="K38" s="413" t="s">
        <v>596</v>
      </c>
      <c r="L38" s="560">
        <v>90</v>
      </c>
      <c r="M38" s="494">
        <v>100</v>
      </c>
      <c r="N38" s="768"/>
    </row>
    <row r="39" spans="1:14" s="436" customFormat="1" ht="13.5" thickBot="1">
      <c r="A39" s="1172"/>
      <c r="B39" s="1172"/>
      <c r="C39" s="1223" t="s">
        <v>118</v>
      </c>
      <c r="D39" s="1224"/>
      <c r="E39" s="1224"/>
      <c r="F39" s="1224"/>
      <c r="G39" s="1225"/>
      <c r="H39" s="766">
        <f>SUM(H37:H38)</f>
        <v>283.5</v>
      </c>
      <c r="I39" s="767">
        <f>SUM(I37:I38)</f>
        <v>13</v>
      </c>
      <c r="J39" s="767">
        <f>SUM(J37:J38)</f>
        <v>0</v>
      </c>
      <c r="K39" s="441"/>
      <c r="L39" s="209"/>
      <c r="M39" s="149"/>
      <c r="N39" s="171"/>
    </row>
    <row r="40" spans="1:14" s="436" customFormat="1" ht="24.75" customHeight="1">
      <c r="A40" s="1172"/>
      <c r="B40" s="1172"/>
      <c r="C40" s="1165" t="s">
        <v>823</v>
      </c>
      <c r="D40" s="1166"/>
      <c r="E40" s="1167"/>
      <c r="F40" s="1507" t="s">
        <v>171</v>
      </c>
      <c r="G40" s="543" t="s">
        <v>121</v>
      </c>
      <c r="H40" s="769">
        <v>127.2</v>
      </c>
      <c r="I40" s="555">
        <v>2</v>
      </c>
      <c r="J40" s="555">
        <v>0</v>
      </c>
      <c r="K40" s="554" t="s">
        <v>641</v>
      </c>
      <c r="L40" s="461"/>
      <c r="M40" s="552">
        <v>1</v>
      </c>
      <c r="N40" s="637"/>
    </row>
    <row r="41" spans="1:14" s="436" customFormat="1" ht="18.75" customHeight="1" thickBot="1">
      <c r="A41" s="1172"/>
      <c r="B41" s="1172"/>
      <c r="C41" s="1230"/>
      <c r="D41" s="1231"/>
      <c r="E41" s="1232"/>
      <c r="F41" s="1163"/>
      <c r="G41" s="498" t="s">
        <v>143</v>
      </c>
      <c r="H41" s="770">
        <v>195</v>
      </c>
      <c r="I41" s="512">
        <v>5</v>
      </c>
      <c r="J41" s="512">
        <v>0</v>
      </c>
      <c r="K41" s="413" t="s">
        <v>596</v>
      </c>
      <c r="L41" s="560">
        <v>90</v>
      </c>
      <c r="M41" s="494">
        <v>100</v>
      </c>
      <c r="N41" s="768"/>
    </row>
    <row r="42" spans="1:14" s="436" customFormat="1" ht="13.5" thickBot="1">
      <c r="A42" s="1172"/>
      <c r="B42" s="1172"/>
      <c r="C42" s="1153" t="s">
        <v>118</v>
      </c>
      <c r="D42" s="1154"/>
      <c r="E42" s="1154"/>
      <c r="F42" s="1154"/>
      <c r="G42" s="1155"/>
      <c r="H42" s="766">
        <f>SUM(H40:H41)</f>
        <v>322.2</v>
      </c>
      <c r="I42" s="767">
        <f>SUM(I40:I41)</f>
        <v>7</v>
      </c>
      <c r="J42" s="767">
        <f>SUM(J40:J41)</f>
        <v>0</v>
      </c>
      <c r="K42" s="441"/>
      <c r="L42" s="209"/>
      <c r="M42" s="149"/>
      <c r="N42" s="171"/>
    </row>
    <row r="43" spans="1:14" s="436" customFormat="1" ht="24" customHeight="1">
      <c r="A43" s="1172"/>
      <c r="B43" s="1172"/>
      <c r="C43" s="1165" t="s">
        <v>824</v>
      </c>
      <c r="D43" s="1166"/>
      <c r="E43" s="1167"/>
      <c r="F43" s="1507" t="s">
        <v>171</v>
      </c>
      <c r="G43" s="543" t="s">
        <v>121</v>
      </c>
      <c r="H43" s="769">
        <v>30</v>
      </c>
      <c r="I43" s="555">
        <v>60</v>
      </c>
      <c r="J43" s="555">
        <v>30</v>
      </c>
      <c r="K43" s="554" t="s">
        <v>642</v>
      </c>
      <c r="L43" s="461">
        <v>20</v>
      </c>
      <c r="M43" s="552">
        <v>60</v>
      </c>
      <c r="N43" s="637">
        <v>20</v>
      </c>
    </row>
    <row r="44" spans="1:14" s="436" customFormat="1" ht="18.75" customHeight="1" thickBot="1">
      <c r="A44" s="1172"/>
      <c r="B44" s="1172"/>
      <c r="C44" s="1452"/>
      <c r="D44" s="1322"/>
      <c r="E44" s="1323"/>
      <c r="F44" s="1163"/>
      <c r="G44" s="561" t="s">
        <v>143</v>
      </c>
      <c r="H44" s="773">
        <v>170</v>
      </c>
      <c r="I44" s="563">
        <v>340</v>
      </c>
      <c r="J44" s="563">
        <v>70</v>
      </c>
      <c r="K44" s="413" t="s">
        <v>596</v>
      </c>
      <c r="L44" s="771">
        <v>15</v>
      </c>
      <c r="M44" s="494">
        <v>70</v>
      </c>
      <c r="N44" s="772">
        <v>100</v>
      </c>
    </row>
    <row r="45" spans="1:14" s="436" customFormat="1" ht="13.5" thickBot="1">
      <c r="A45" s="1172"/>
      <c r="B45" s="1172"/>
      <c r="C45" s="1153" t="s">
        <v>118</v>
      </c>
      <c r="D45" s="1154"/>
      <c r="E45" s="1154"/>
      <c r="F45" s="1154"/>
      <c r="G45" s="1155"/>
      <c r="H45" s="766">
        <f>SUM(H43:H44)</f>
        <v>200</v>
      </c>
      <c r="I45" s="767">
        <f>SUM(I43:I44)</f>
        <v>400</v>
      </c>
      <c r="J45" s="767">
        <f>SUM(J43:J44)</f>
        <v>100</v>
      </c>
      <c r="K45" s="441"/>
      <c r="L45" s="209"/>
      <c r="M45" s="149"/>
      <c r="N45" s="171"/>
    </row>
    <row r="46" spans="1:14" s="436" customFormat="1" ht="24" customHeight="1">
      <c r="A46" s="1172"/>
      <c r="B46" s="1172"/>
      <c r="C46" s="1165" t="s">
        <v>825</v>
      </c>
      <c r="D46" s="1166"/>
      <c r="E46" s="1167"/>
      <c r="F46" s="1507" t="s">
        <v>171</v>
      </c>
      <c r="G46" s="832" t="s">
        <v>121</v>
      </c>
      <c r="H46" s="1107">
        <v>0</v>
      </c>
      <c r="I46" s="854">
        <v>66.599999999999994</v>
      </c>
      <c r="J46" s="868">
        <v>0</v>
      </c>
      <c r="K46" s="595" t="s">
        <v>643</v>
      </c>
      <c r="L46" s="461"/>
      <c r="M46" s="594">
        <v>1</v>
      </c>
      <c r="N46" s="637"/>
    </row>
    <row r="47" spans="1:14" s="436" customFormat="1" ht="18.75" customHeight="1" thickBot="1">
      <c r="A47" s="1172"/>
      <c r="B47" s="1172"/>
      <c r="C47" s="1452"/>
      <c r="D47" s="1322"/>
      <c r="E47" s="1323"/>
      <c r="F47" s="1163"/>
      <c r="G47" s="864" t="s">
        <v>143</v>
      </c>
      <c r="H47" s="773">
        <v>400</v>
      </c>
      <c r="I47" s="865">
        <v>200</v>
      </c>
      <c r="J47" s="867">
        <v>0</v>
      </c>
      <c r="K47" s="860" t="s">
        <v>596</v>
      </c>
      <c r="L47" s="771">
        <v>40</v>
      </c>
      <c r="M47" s="494">
        <v>100</v>
      </c>
      <c r="N47" s="772"/>
    </row>
    <row r="48" spans="1:14" s="436" customFormat="1" ht="13.5" thickBot="1">
      <c r="A48" s="1172"/>
      <c r="B48" s="1173"/>
      <c r="C48" s="1153" t="s">
        <v>118</v>
      </c>
      <c r="D48" s="1305"/>
      <c r="E48" s="1305"/>
      <c r="F48" s="1305"/>
      <c r="G48" s="1305"/>
      <c r="H48" s="782">
        <f>H46+H47</f>
        <v>400</v>
      </c>
      <c r="I48" s="783">
        <f t="shared" ref="I48:J48" si="1">I46+I47</f>
        <v>266.60000000000002</v>
      </c>
      <c r="J48" s="783">
        <f t="shared" si="1"/>
        <v>0</v>
      </c>
      <c r="K48" s="441"/>
      <c r="L48" s="209"/>
      <c r="M48" s="149"/>
      <c r="N48" s="171"/>
    </row>
    <row r="49" spans="1:14" s="7" customFormat="1" ht="13.5" thickBot="1">
      <c r="A49" s="1172"/>
      <c r="B49" s="1153" t="s">
        <v>119</v>
      </c>
      <c r="C49" s="1305"/>
      <c r="D49" s="1305"/>
      <c r="E49" s="1305"/>
      <c r="F49" s="1305"/>
      <c r="G49" s="1305"/>
      <c r="H49" s="784">
        <f>H36+H39+H42+H48+H45</f>
        <v>1499.9</v>
      </c>
      <c r="I49" s="785">
        <f t="shared" ref="I49:J49" si="2">I36+I39+I42+I48+I45</f>
        <v>693.6</v>
      </c>
      <c r="J49" s="785">
        <f t="shared" si="2"/>
        <v>100</v>
      </c>
      <c r="K49" s="196"/>
      <c r="L49" s="196"/>
      <c r="M49" s="196"/>
      <c r="N49" s="202"/>
    </row>
    <row r="50" spans="1:14" s="7" customFormat="1" ht="13.5" thickBot="1">
      <c r="A50" s="1297" t="s">
        <v>16</v>
      </c>
      <c r="B50" s="1221"/>
      <c r="C50" s="1221"/>
      <c r="D50" s="1221"/>
      <c r="E50" s="1221"/>
      <c r="F50" s="1221"/>
      <c r="G50" s="1222"/>
      <c r="H50" s="784">
        <f t="shared" ref="H50:J50" si="3">H49</f>
        <v>1499.9</v>
      </c>
      <c r="I50" s="786">
        <f t="shared" si="3"/>
        <v>693.6</v>
      </c>
      <c r="J50" s="786">
        <f t="shared" si="3"/>
        <v>100</v>
      </c>
      <c r="K50" s="196"/>
      <c r="L50" s="196"/>
      <c r="M50" s="196"/>
      <c r="N50" s="202"/>
    </row>
    <row r="51" spans="1:14" s="10" customFormat="1" ht="13.5" thickBot="1">
      <c r="A51" s="1394" t="s">
        <v>17</v>
      </c>
      <c r="B51" s="1221"/>
      <c r="C51" s="1221"/>
      <c r="D51" s="1221"/>
      <c r="E51" s="1221"/>
      <c r="F51" s="1221"/>
      <c r="G51" s="1222"/>
      <c r="H51" s="1141">
        <f>H17+H33+H50</f>
        <v>1925</v>
      </c>
      <c r="I51" s="787">
        <f t="shared" ref="I51:J51" si="4">I17+I33+I50</f>
        <v>1083.3026</v>
      </c>
      <c r="J51" s="787">
        <f t="shared" si="4"/>
        <v>370.31481559999997</v>
      </c>
      <c r="K51" s="79"/>
      <c r="L51" s="79"/>
      <c r="M51" s="79"/>
      <c r="N51" s="84"/>
    </row>
    <row r="52" spans="1:14" s="10" customFormat="1" ht="10.5" customHeight="1">
      <c r="A52" s="86"/>
      <c r="B52" s="104"/>
      <c r="C52" s="104"/>
      <c r="D52" s="1130"/>
      <c r="E52" s="32"/>
      <c r="F52" s="32" t="s">
        <v>11</v>
      </c>
      <c r="G52" s="32"/>
      <c r="H52" s="32"/>
      <c r="I52" s="56"/>
      <c r="J52" s="56"/>
      <c r="K52" s="56"/>
      <c r="L52" s="56"/>
      <c r="M52" s="56"/>
      <c r="N52" s="56"/>
    </row>
    <row r="53" spans="1:14" s="7" customFormat="1" ht="10.5" customHeight="1">
      <c r="A53" s="36"/>
      <c r="B53" s="29"/>
      <c r="C53" s="87"/>
      <c r="D53" s="40"/>
      <c r="E53" s="41"/>
      <c r="F53" s="41"/>
      <c r="G53" s="81" t="s">
        <v>124</v>
      </c>
      <c r="H53" s="450">
        <f>SUMIF($G$8:$G$50,"SB",H$8:H$50)</f>
        <v>500.8</v>
      </c>
      <c r="I53" s="450">
        <f>SUMIF($G$8:$G$50,"SB",I$8:I$50)</f>
        <v>267.49860000000001</v>
      </c>
      <c r="J53" s="450">
        <f>SUMIF($G$8:$G$50,"SB",J$8:J$50)</f>
        <v>164.70199159999999</v>
      </c>
      <c r="K53" s="318"/>
      <c r="L53" s="318"/>
      <c r="M53" s="318"/>
      <c r="N53" s="318"/>
    </row>
    <row r="54" spans="1:14" s="7" customFormat="1" ht="10.5" customHeight="1">
      <c r="A54" s="36"/>
      <c r="B54" s="127"/>
      <c r="C54" s="55"/>
      <c r="D54" s="40"/>
      <c r="E54" s="41"/>
      <c r="F54" s="41"/>
      <c r="G54" s="81" t="s">
        <v>125</v>
      </c>
      <c r="H54" s="450">
        <f>SUMIF($G$8:$G$50,"VB-STD",H$8:H$50)</f>
        <v>134</v>
      </c>
      <c r="I54" s="450">
        <f>SUMIF($G$8:$G$50,"VB-STD",I$8:I$50)</f>
        <v>134.804</v>
      </c>
      <c r="J54" s="450">
        <f>SUMIF($G$8:$G$50,"VB-STD",J$8:J$50)</f>
        <v>135.61282399999999</v>
      </c>
      <c r="K54" s="195"/>
      <c r="L54" s="195"/>
      <c r="M54" s="195"/>
      <c r="N54" s="195"/>
    </row>
    <row r="55" spans="1:14" s="7" customFormat="1" ht="10.5" customHeight="1">
      <c r="A55" s="36"/>
      <c r="B55" s="127"/>
      <c r="C55" s="55"/>
      <c r="D55" s="18"/>
      <c r="E55" s="19"/>
      <c r="F55" s="19"/>
      <c r="G55" s="81" t="s">
        <v>126</v>
      </c>
      <c r="H55" s="450">
        <f>SUMIF($G$8:$G$50,"ES",H$8:H$50)</f>
        <v>1290.2</v>
      </c>
      <c r="I55" s="450">
        <f>SUMIF($G$8:$G$50,"ES",I$8:I$50)</f>
        <v>681</v>
      </c>
      <c r="J55" s="450">
        <f>SUMIF($G$8:$G$50,"ES",J$8:J$50)</f>
        <v>70</v>
      </c>
      <c r="K55" s="195"/>
      <c r="L55" s="195"/>
      <c r="M55" s="195"/>
      <c r="N55" s="195"/>
    </row>
    <row r="56" spans="1:14" s="7" customFormat="1" ht="10.5" customHeight="1">
      <c r="A56" s="36"/>
      <c r="B56" s="127"/>
      <c r="C56" s="55"/>
      <c r="D56" s="18"/>
      <c r="E56" s="19"/>
      <c r="F56" s="19"/>
      <c r="G56" s="81" t="s">
        <v>127</v>
      </c>
      <c r="H56" s="450">
        <f>SUMIF($G$8:$G$50,"SAARS",H$8:H$50)</f>
        <v>0</v>
      </c>
      <c r="I56" s="450">
        <f>SUMIF($G$8:$G$50,"SAARS",I$8:I$50)</f>
        <v>0</v>
      </c>
      <c r="J56" s="450">
        <f>SUMIF($G$8:$G$50,"SAARS",J$8:J$50)</f>
        <v>0</v>
      </c>
      <c r="K56" s="195"/>
      <c r="L56" s="195"/>
      <c r="M56" s="195"/>
      <c r="N56" s="195"/>
    </row>
    <row r="57" spans="1:14" s="7" customFormat="1" ht="10.5" customHeight="1">
      <c r="A57" s="36"/>
      <c r="B57" s="127"/>
      <c r="C57" s="55"/>
      <c r="D57" s="18"/>
      <c r="E57" s="19"/>
      <c r="F57" s="19"/>
      <c r="G57" s="81" t="s">
        <v>128</v>
      </c>
      <c r="H57" s="450">
        <f>SUMIF($G$8:$G$50,"KPPP",H$8:H$50)</f>
        <v>0</v>
      </c>
      <c r="I57" s="450">
        <f>SUMIF($G$8:$G$50,"KPPP",I$8:I$50)</f>
        <v>0</v>
      </c>
      <c r="J57" s="450">
        <f>SUMIF($G$8:$G$50,"KPPP",J$8:J$50)</f>
        <v>0</v>
      </c>
      <c r="K57" s="195"/>
      <c r="L57" s="195"/>
      <c r="M57" s="195"/>
      <c r="N57" s="195"/>
    </row>
    <row r="58" spans="1:14" s="7" customFormat="1" ht="10.5" customHeight="1">
      <c r="A58" s="36"/>
      <c r="B58" s="127"/>
      <c r="C58" s="55"/>
      <c r="D58" s="18"/>
      <c r="E58" s="19"/>
      <c r="F58" s="19"/>
      <c r="G58" s="82" t="s">
        <v>129</v>
      </c>
      <c r="H58" s="450">
        <f>SUMIF($G$8:$G$50,"UF",H$8:H$50)</f>
        <v>0</v>
      </c>
      <c r="I58" s="450">
        <f>SUMIF($G$8:$G$50,"UF",I$8:I$50)</f>
        <v>0</v>
      </c>
      <c r="J58" s="450">
        <f>SUMIF($G$8:$G$50,"UF",J$8:J$50)</f>
        <v>0</v>
      </c>
      <c r="K58" s="195"/>
      <c r="L58" s="195"/>
      <c r="M58" s="195"/>
      <c r="N58" s="195"/>
    </row>
    <row r="59" spans="1:14" s="7" customFormat="1" ht="10.5" customHeight="1">
      <c r="A59" s="36"/>
      <c r="B59" s="127"/>
      <c r="C59" s="55"/>
      <c r="D59" s="18"/>
      <c r="E59" s="19"/>
      <c r="F59" s="19"/>
      <c r="G59" s="81" t="s">
        <v>130</v>
      </c>
      <c r="H59" s="450">
        <f>SUMIF($G$8:$G$50,"VB",H$8:H$50)</f>
        <v>0</v>
      </c>
      <c r="I59" s="450">
        <f>SUMIF($G$8:$G$50,"VB",I$8:I$50)</f>
        <v>0</v>
      </c>
      <c r="J59" s="450">
        <f>SUMIF($G$8:$G$50,"VB",J$8:J$50)</f>
        <v>0</v>
      </c>
      <c r="K59" s="195"/>
      <c r="L59" s="195"/>
      <c r="M59" s="195"/>
      <c r="N59" s="195"/>
    </row>
    <row r="60" spans="1:14" s="7" customFormat="1" ht="10.5" customHeight="1">
      <c r="A60" s="36"/>
      <c r="B60" s="127"/>
      <c r="C60" s="55"/>
      <c r="D60" s="18"/>
      <c r="E60" s="19"/>
      <c r="F60" s="19"/>
      <c r="G60" s="81" t="s">
        <v>131</v>
      </c>
      <c r="H60" s="450">
        <f>SUMIF($G$8:$G$50,"SL",H$8:H$50)</f>
        <v>0</v>
      </c>
      <c r="I60" s="450">
        <f>SUMIF($G$8:$G$50,"SL",I$8:I$50)</f>
        <v>0</v>
      </c>
      <c r="J60" s="450">
        <f>SUMIF($G$8:$G$50,"SL",J$8:J$50)</f>
        <v>0</v>
      </c>
      <c r="K60" s="195"/>
      <c r="L60" s="195"/>
      <c r="M60" s="195"/>
      <c r="N60" s="195"/>
    </row>
    <row r="61" spans="1:14" s="7" customFormat="1" ht="10.5" customHeight="1">
      <c r="A61" s="77"/>
      <c r="B61" s="30"/>
      <c r="C61" s="76"/>
      <c r="D61" s="18"/>
      <c r="E61" s="19"/>
      <c r="F61" s="19"/>
      <c r="G61" s="81" t="s">
        <v>132</v>
      </c>
      <c r="H61" s="450">
        <f>SUMIF($G$8:$G$50,"PL",H$8:H$50)</f>
        <v>0</v>
      </c>
      <c r="I61" s="450">
        <f>SUMIF($G$8:$G$50,"PL",I$8:I$50)</f>
        <v>0</v>
      </c>
      <c r="J61" s="450">
        <f>SUMIF($G$8:$G$50,"PL",J$8:J$50)</f>
        <v>0</v>
      </c>
      <c r="K61" s="195"/>
      <c r="L61" s="195"/>
      <c r="M61" s="195"/>
      <c r="N61" s="195"/>
    </row>
    <row r="62" spans="1:14" s="7" customFormat="1" ht="10.5" customHeight="1">
      <c r="A62" s="77"/>
      <c r="B62" s="30"/>
      <c r="C62" s="76"/>
      <c r="D62" s="40"/>
      <c r="E62" s="41"/>
      <c r="F62" s="41"/>
      <c r="G62" s="81" t="s">
        <v>133</v>
      </c>
      <c r="H62" s="450">
        <f>SUMIF($G$8:$G$50,"KL",H$8:H$50)</f>
        <v>0</v>
      </c>
      <c r="I62" s="450">
        <f>SUMIF($G$8:$G$50,"KL",I$8:I$50)</f>
        <v>0</v>
      </c>
      <c r="J62" s="450">
        <f>SUMIF($G$8:$G$50,"KL",J$8:J$50)</f>
        <v>0</v>
      </c>
      <c r="K62" s="318"/>
      <c r="L62" s="318"/>
      <c r="M62" s="318"/>
      <c r="N62" s="318"/>
    </row>
    <row r="63" spans="1:14" s="7" customFormat="1" ht="10.5" customHeight="1">
      <c r="A63" s="36"/>
      <c r="B63" s="1132"/>
      <c r="C63" s="1133"/>
      <c r="D63" s="40"/>
      <c r="E63" s="41"/>
      <c r="F63" s="41"/>
      <c r="G63" s="81" t="s">
        <v>134</v>
      </c>
      <c r="H63" s="450">
        <f>SUMIF($G$8:$G$50,"TPP",H$8:H$50)</f>
        <v>0</v>
      </c>
      <c r="I63" s="450">
        <f>SUMIF($G$8:$G$50,"TPP",I$8:I$50)</f>
        <v>0</v>
      </c>
      <c r="J63" s="450">
        <f>SUMIF($G$8:$G$50,"TPP",J$8:J$50)</f>
        <v>0</v>
      </c>
      <c r="K63" s="195"/>
      <c r="L63" s="195"/>
      <c r="M63" s="195"/>
      <c r="N63" s="195"/>
    </row>
    <row r="64" spans="1:14" s="11" customFormat="1" ht="10.5" customHeight="1">
      <c r="A64" s="37"/>
      <c r="B64" s="12"/>
      <c r="C64" s="12"/>
      <c r="D64" s="12"/>
      <c r="E64" s="12"/>
      <c r="F64" s="12"/>
      <c r="G64" s="83" t="s">
        <v>17</v>
      </c>
      <c r="H64" s="1137">
        <f>SUM(H53:H63)</f>
        <v>1925</v>
      </c>
      <c r="I64" s="1137">
        <f>SUM(I53:I63)</f>
        <v>1083.3026</v>
      </c>
      <c r="J64" s="1137">
        <f>SUM(J53:J63)</f>
        <v>370.31481559999997</v>
      </c>
      <c r="K64" s="57"/>
      <c r="L64" s="57"/>
      <c r="M64" s="1139"/>
      <c r="N64" s="1139"/>
    </row>
    <row r="65" spans="1:14" s="11" customFormat="1">
      <c r="A65" s="14"/>
      <c r="B65" s="12"/>
      <c r="C65" s="12"/>
      <c r="D65" s="12"/>
      <c r="E65" s="12"/>
      <c r="F65" s="12"/>
      <c r="G65" s="13"/>
      <c r="H65" s="12"/>
      <c r="I65" s="65"/>
      <c r="J65" s="65"/>
      <c r="K65" s="65"/>
      <c r="L65" s="65"/>
      <c r="M65" s="1140"/>
      <c r="N65" s="1140"/>
    </row>
    <row r="66" spans="1:14" s="11" customFormat="1">
      <c r="A66" s="15"/>
      <c r="B66" s="12"/>
      <c r="C66" s="12"/>
      <c r="D66" s="12"/>
      <c r="E66" s="12"/>
      <c r="F66" s="12"/>
      <c r="G66" s="13"/>
      <c r="H66" s="12"/>
      <c r="M66" s="14"/>
      <c r="N66" s="14"/>
    </row>
    <row r="67" spans="1:14" s="11" customFormat="1">
      <c r="A67" s="15"/>
      <c r="B67" s="12"/>
      <c r="C67" s="12"/>
      <c r="D67" s="12"/>
      <c r="E67" s="12"/>
      <c r="F67" s="12"/>
      <c r="G67" s="13"/>
      <c r="H67" s="12"/>
      <c r="M67" s="14"/>
      <c r="N67" s="14"/>
    </row>
    <row r="68" spans="1:14" s="11" customFormat="1">
      <c r="A68" s="15"/>
      <c r="B68" s="12"/>
      <c r="C68" s="12"/>
      <c r="D68" s="12"/>
      <c r="E68" s="12"/>
      <c r="F68" s="12"/>
      <c r="G68" s="13"/>
      <c r="H68" s="12"/>
    </row>
    <row r="69" spans="1:14" s="11" customFormat="1">
      <c r="A69" s="15"/>
      <c r="B69" s="12"/>
      <c r="C69" s="12"/>
      <c r="D69" s="12"/>
      <c r="E69" s="12"/>
      <c r="F69" s="12"/>
      <c r="G69" s="13"/>
      <c r="H69" s="12"/>
    </row>
    <row r="70" spans="1:14" s="11" customFormat="1">
      <c r="A70" s="15"/>
      <c r="B70" s="12"/>
      <c r="C70" s="12"/>
      <c r="D70" s="12"/>
      <c r="E70" s="12"/>
      <c r="F70" s="12"/>
      <c r="G70" s="13"/>
      <c r="H70" s="12"/>
    </row>
    <row r="71" spans="1:14" s="11" customFormat="1">
      <c r="A71" s="15"/>
      <c r="B71" s="12"/>
      <c r="C71" s="12"/>
      <c r="D71" s="12"/>
      <c r="E71" s="12"/>
      <c r="F71" s="12"/>
      <c r="G71" s="13"/>
      <c r="H71" s="12"/>
    </row>
    <row r="72" spans="1:14" s="11" customFormat="1">
      <c r="A72" s="15"/>
      <c r="B72" s="12"/>
      <c r="C72" s="12"/>
      <c r="D72" s="12"/>
      <c r="E72" s="12"/>
      <c r="F72" s="12"/>
      <c r="G72" s="13"/>
      <c r="H72" s="12"/>
    </row>
    <row r="73" spans="1:14" s="11" customFormat="1">
      <c r="A73" s="15"/>
      <c r="B73" s="12"/>
      <c r="C73" s="12"/>
      <c r="D73" s="12"/>
      <c r="E73" s="12"/>
      <c r="F73" s="12"/>
      <c r="G73" s="13"/>
      <c r="H73" s="12"/>
    </row>
  </sheetData>
  <mergeCells count="87">
    <mergeCell ref="A3:J3"/>
    <mergeCell ref="C27:G27"/>
    <mergeCell ref="C28:E28"/>
    <mergeCell ref="C29:G29"/>
    <mergeCell ref="C24:E26"/>
    <mergeCell ref="G12:G14"/>
    <mergeCell ref="F18:F19"/>
    <mergeCell ref="F21:F22"/>
    <mergeCell ref="F24:F26"/>
    <mergeCell ref="H12:H14"/>
    <mergeCell ref="I12:I14"/>
    <mergeCell ref="J12:J14"/>
    <mergeCell ref="G24:G25"/>
    <mergeCell ref="H24:H25"/>
    <mergeCell ref="I24:I25"/>
    <mergeCell ref="J24:J25"/>
    <mergeCell ref="K25:K26"/>
    <mergeCell ref="L25:L26"/>
    <mergeCell ref="M25:M26"/>
    <mergeCell ref="N25:N26"/>
    <mergeCell ref="A5:A7"/>
    <mergeCell ref="B5:B7"/>
    <mergeCell ref="C5:C7"/>
    <mergeCell ref="D5:D7"/>
    <mergeCell ref="E5:E7"/>
    <mergeCell ref="K5:N5"/>
    <mergeCell ref="K6:K7"/>
    <mergeCell ref="L6:N6"/>
    <mergeCell ref="C8:E9"/>
    <mergeCell ref="F5:F7"/>
    <mergeCell ref="G5:G7"/>
    <mergeCell ref="H5:H7"/>
    <mergeCell ref="I5:I7"/>
    <mergeCell ref="J5:J7"/>
    <mergeCell ref="F8:F9"/>
    <mergeCell ref="H8:H9"/>
    <mergeCell ref="I8:I9"/>
    <mergeCell ref="B32:G32"/>
    <mergeCell ref="C36:G36"/>
    <mergeCell ref="C18:E19"/>
    <mergeCell ref="C21:E22"/>
    <mergeCell ref="J8:J9"/>
    <mergeCell ref="B11:G11"/>
    <mergeCell ref="B8:B10"/>
    <mergeCell ref="C10:G10"/>
    <mergeCell ref="A17:G17"/>
    <mergeCell ref="C30:E30"/>
    <mergeCell ref="F12:F14"/>
    <mergeCell ref="A34:A49"/>
    <mergeCell ref="C37:E38"/>
    <mergeCell ref="C39:G39"/>
    <mergeCell ref="C40:E41"/>
    <mergeCell ref="C42:G42"/>
    <mergeCell ref="A51:G51"/>
    <mergeCell ref="C12:E14"/>
    <mergeCell ref="C15:G15"/>
    <mergeCell ref="B16:G16"/>
    <mergeCell ref="B12:B15"/>
    <mergeCell ref="A8:A16"/>
    <mergeCell ref="G8:G9"/>
    <mergeCell ref="C31:G31"/>
    <mergeCell ref="B18:B31"/>
    <mergeCell ref="A33:G33"/>
    <mergeCell ref="C20:G20"/>
    <mergeCell ref="C23:G23"/>
    <mergeCell ref="C34:E35"/>
    <mergeCell ref="B49:G49"/>
    <mergeCell ref="A18:A32"/>
    <mergeCell ref="A50:G50"/>
    <mergeCell ref="C43:E44"/>
    <mergeCell ref="C48:G48"/>
    <mergeCell ref="B34:B48"/>
    <mergeCell ref="C46:E47"/>
    <mergeCell ref="F34:F35"/>
    <mergeCell ref="F37:F38"/>
    <mergeCell ref="F40:F41"/>
    <mergeCell ref="F43:F44"/>
    <mergeCell ref="F46:F47"/>
    <mergeCell ref="C45:G45"/>
    <mergeCell ref="G18:G19"/>
    <mergeCell ref="H18:H19"/>
    <mergeCell ref="I18:I19"/>
    <mergeCell ref="J18:J19"/>
    <mergeCell ref="G21:G22"/>
    <mergeCell ref="H21:H22"/>
    <mergeCell ref="I21:I22"/>
    <mergeCell ref="J21:J22"/>
  </mergeCells>
  <phoneticPr fontId="6" type="noConversion"/>
  <pageMargins left="0.39370078740157483" right="0.39370078740157483" top="0.59055118110236227" bottom="0.19685039370078741" header="0" footer="0"/>
  <pageSetup paperSize="9" scale="95" orientation="landscape" r:id="rId1"/>
  <headerFooter alignWithMargins="0">
    <oddHeader>&amp;C5.1.-&amp;P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91"/>
  <sheetViews>
    <sheetView topLeftCell="A70" zoomScaleNormal="100" zoomScaleSheetLayoutView="100" workbookViewId="0">
      <selection activeCell="I95" sqref="I95"/>
    </sheetView>
  </sheetViews>
  <sheetFormatPr defaultColWidth="7.85546875" defaultRowHeight="12.75"/>
  <cols>
    <col min="1" max="1" width="6.85546875" style="5" customWidth="1"/>
    <col min="2" max="3" width="8.7109375" style="2" customWidth="1"/>
    <col min="4" max="4" width="8.5703125" style="2" customWidth="1"/>
    <col min="5" max="5" width="8.7109375" style="2" customWidth="1"/>
    <col min="6" max="6" width="10.42578125" style="2" customWidth="1"/>
    <col min="7" max="7" width="8.7109375" style="8" customWidth="1"/>
    <col min="8" max="8" width="8.7109375" style="2" customWidth="1"/>
    <col min="9" max="10" width="8.7109375" style="3" customWidth="1"/>
    <col min="11" max="11" width="27.85546875" style="3" customWidth="1"/>
    <col min="12" max="14" width="7.7109375" style="2" customWidth="1"/>
    <col min="15" max="15" width="9.5703125" style="3" customWidth="1"/>
    <col min="16" max="16384" width="7.85546875" style="3"/>
  </cols>
  <sheetData>
    <row r="1" spans="1:14" ht="15.75">
      <c r="A1" s="110" t="s">
        <v>463</v>
      </c>
      <c r="B1" s="111"/>
      <c r="C1" s="111"/>
      <c r="D1" s="111"/>
      <c r="E1" s="111"/>
      <c r="F1" s="111"/>
      <c r="G1" s="351"/>
      <c r="H1" s="111"/>
      <c r="I1" s="111"/>
      <c r="J1" s="111"/>
      <c r="K1" s="7" t="s">
        <v>464</v>
      </c>
      <c r="L1" s="8"/>
      <c r="M1" s="8"/>
      <c r="N1" s="8"/>
    </row>
    <row r="2" spans="1:14" ht="15.75">
      <c r="A2" s="112" t="s">
        <v>151</v>
      </c>
      <c r="B2" s="113"/>
      <c r="C2" s="113"/>
      <c r="D2" s="113"/>
      <c r="E2" s="113"/>
      <c r="F2" s="113"/>
      <c r="G2" s="352"/>
      <c r="H2" s="113"/>
      <c r="I2" s="113"/>
      <c r="J2" s="113"/>
      <c r="K2" s="7" t="s">
        <v>107</v>
      </c>
      <c r="L2" s="8"/>
      <c r="M2" s="8"/>
      <c r="N2" s="8"/>
    </row>
    <row r="3" spans="1:14" ht="30.75" customHeight="1">
      <c r="A3" s="1503" t="s">
        <v>117</v>
      </c>
      <c r="B3" s="1503"/>
      <c r="C3" s="1503"/>
      <c r="D3" s="1503"/>
      <c r="E3" s="1503"/>
      <c r="F3" s="1503"/>
      <c r="G3" s="1503"/>
      <c r="H3" s="1503"/>
      <c r="I3" s="1503"/>
      <c r="J3" s="1503"/>
      <c r="K3" s="1575" t="s">
        <v>830</v>
      </c>
      <c r="L3" s="1575"/>
      <c r="M3" s="8"/>
      <c r="N3" s="8"/>
    </row>
    <row r="4" spans="1:14" ht="16.5" thickBot="1">
      <c r="A4" s="9"/>
      <c r="B4" s="9"/>
      <c r="C4" s="9"/>
      <c r="D4" s="9"/>
      <c r="E4" s="9"/>
      <c r="F4" s="9"/>
      <c r="G4" s="353"/>
      <c r="H4" s="9"/>
      <c r="I4" s="9"/>
      <c r="J4" s="9"/>
      <c r="K4" s="7"/>
      <c r="L4" s="8"/>
      <c r="M4" s="8"/>
      <c r="N4" s="8"/>
    </row>
    <row r="5" spans="1:14" ht="13.5" customHeight="1">
      <c r="A5" s="1492" t="s">
        <v>110</v>
      </c>
      <c r="B5" s="1483" t="s">
        <v>111</v>
      </c>
      <c r="C5" s="1483" t="s">
        <v>112</v>
      </c>
      <c r="D5" s="1483" t="s">
        <v>47</v>
      </c>
      <c r="E5" s="1483" t="s">
        <v>113</v>
      </c>
      <c r="F5" s="1483" t="s">
        <v>14</v>
      </c>
      <c r="G5" s="1692" t="s">
        <v>114</v>
      </c>
      <c r="H5" s="1483" t="s">
        <v>814</v>
      </c>
      <c r="I5" s="1485" t="s">
        <v>815</v>
      </c>
      <c r="J5" s="1469" t="s">
        <v>816</v>
      </c>
      <c r="K5" s="1471" t="s">
        <v>115</v>
      </c>
      <c r="L5" s="1472"/>
      <c r="M5" s="1472"/>
      <c r="N5" s="1473"/>
    </row>
    <row r="6" spans="1:14" ht="13.5" customHeight="1">
      <c r="A6" s="1493"/>
      <c r="B6" s="1484"/>
      <c r="C6" s="1484"/>
      <c r="D6" s="1484"/>
      <c r="E6" s="1484"/>
      <c r="F6" s="1484"/>
      <c r="G6" s="1693"/>
      <c r="H6" s="1484"/>
      <c r="I6" s="1486"/>
      <c r="J6" s="1470"/>
      <c r="K6" s="1474" t="s">
        <v>47</v>
      </c>
      <c r="L6" s="1476" t="s">
        <v>116</v>
      </c>
      <c r="M6" s="1477"/>
      <c r="N6" s="1478"/>
    </row>
    <row r="7" spans="1:14" ht="145.5" customHeight="1" thickBot="1">
      <c r="A7" s="1494"/>
      <c r="B7" s="1495"/>
      <c r="C7" s="1495"/>
      <c r="D7" s="1495"/>
      <c r="E7" s="1495"/>
      <c r="F7" s="1495"/>
      <c r="G7" s="1694"/>
      <c r="H7" s="1495"/>
      <c r="I7" s="1707"/>
      <c r="J7" s="1708"/>
      <c r="K7" s="1578"/>
      <c r="L7" s="114" t="s">
        <v>138</v>
      </c>
      <c r="M7" s="114" t="s">
        <v>256</v>
      </c>
      <c r="N7" s="115" t="s">
        <v>452</v>
      </c>
    </row>
    <row r="8" spans="1:14" ht="24.75" customHeight="1">
      <c r="A8" s="1611" t="s">
        <v>0</v>
      </c>
      <c r="B8" s="1214" t="s">
        <v>661</v>
      </c>
      <c r="C8" s="1620" t="s">
        <v>1</v>
      </c>
      <c r="D8" s="1620"/>
      <c r="E8" s="1695"/>
      <c r="F8" s="1699" t="s">
        <v>171</v>
      </c>
      <c r="G8" s="1699" t="s">
        <v>152</v>
      </c>
      <c r="H8" s="1374">
        <f>20+20+1</f>
        <v>41</v>
      </c>
      <c r="I8" s="1374">
        <f t="shared" ref="I8:J8" si="0">20+20+1</f>
        <v>41</v>
      </c>
      <c r="J8" s="1374">
        <f t="shared" si="0"/>
        <v>41</v>
      </c>
      <c r="K8" s="595" t="s">
        <v>348</v>
      </c>
      <c r="L8" s="601">
        <v>6</v>
      </c>
      <c r="M8" s="601">
        <v>6</v>
      </c>
      <c r="N8" s="875">
        <v>6</v>
      </c>
    </row>
    <row r="9" spans="1:14" s="191" customFormat="1" ht="22.5">
      <c r="A9" s="1612"/>
      <c r="B9" s="1533"/>
      <c r="C9" s="1696"/>
      <c r="D9" s="1696"/>
      <c r="E9" s="1697"/>
      <c r="F9" s="1700"/>
      <c r="G9" s="1700"/>
      <c r="H9" s="1700"/>
      <c r="I9" s="1701"/>
      <c r="J9" s="1701"/>
      <c r="K9" s="879" t="s">
        <v>346</v>
      </c>
      <c r="L9" s="534">
        <v>1</v>
      </c>
      <c r="M9" s="534">
        <v>1</v>
      </c>
      <c r="N9" s="535">
        <v>1</v>
      </c>
    </row>
    <row r="10" spans="1:14" s="191" customFormat="1" ht="45">
      <c r="A10" s="1612"/>
      <c r="B10" s="1533"/>
      <c r="C10" s="1696"/>
      <c r="D10" s="1696"/>
      <c r="E10" s="1697"/>
      <c r="F10" s="1700"/>
      <c r="G10" s="1700"/>
      <c r="H10" s="1700"/>
      <c r="I10" s="1701"/>
      <c r="J10" s="1701"/>
      <c r="K10" s="442" t="s">
        <v>347</v>
      </c>
      <c r="L10" s="534">
        <v>20</v>
      </c>
      <c r="M10" s="534">
        <v>20</v>
      </c>
      <c r="N10" s="535">
        <v>20</v>
      </c>
    </row>
    <row r="11" spans="1:14" s="191" customFormat="1" ht="23.25" thickBot="1">
      <c r="A11" s="1612"/>
      <c r="B11" s="1533"/>
      <c r="C11" s="1698"/>
      <c r="D11" s="1698"/>
      <c r="E11" s="1697"/>
      <c r="F11" s="1700"/>
      <c r="G11" s="1700"/>
      <c r="H11" s="1700"/>
      <c r="I11" s="1701"/>
      <c r="J11" s="1701"/>
      <c r="K11" s="944" t="s">
        <v>349</v>
      </c>
      <c r="L11" s="533">
        <v>1</v>
      </c>
      <c r="M11" s="533">
        <v>1</v>
      </c>
      <c r="N11" s="877">
        <v>1</v>
      </c>
    </row>
    <row r="12" spans="1:14" ht="13.5" thickBot="1">
      <c r="A12" s="1612"/>
      <c r="B12" s="1533"/>
      <c r="C12" s="1410" t="s">
        <v>118</v>
      </c>
      <c r="D12" s="1605"/>
      <c r="E12" s="1605"/>
      <c r="F12" s="1605"/>
      <c r="G12" s="1606"/>
      <c r="H12" s="755">
        <f>SUM(H8)</f>
        <v>41</v>
      </c>
      <c r="I12" s="756">
        <f>SUM(I8)</f>
        <v>41</v>
      </c>
      <c r="J12" s="896">
        <f>SUM(J8)</f>
        <v>41</v>
      </c>
      <c r="K12" s="444"/>
      <c r="L12" s="426"/>
      <c r="M12" s="426"/>
      <c r="N12" s="424"/>
    </row>
    <row r="13" spans="1:14" ht="24" customHeight="1">
      <c r="A13" s="1612"/>
      <c r="B13" s="1533"/>
      <c r="C13" s="1712" t="s">
        <v>189</v>
      </c>
      <c r="D13" s="1716"/>
      <c r="E13" s="1716"/>
      <c r="F13" s="1629" t="s">
        <v>171</v>
      </c>
      <c r="G13" s="1629" t="s">
        <v>152</v>
      </c>
      <c r="H13" s="1367">
        <f>40+155+40+103.2</f>
        <v>338.2</v>
      </c>
      <c r="I13" s="1367">
        <f t="shared" ref="I13:J13" si="1">40+155+40+103.2</f>
        <v>338.2</v>
      </c>
      <c r="J13" s="1367">
        <f t="shared" si="1"/>
        <v>338.2</v>
      </c>
      <c r="K13" s="595" t="s">
        <v>350</v>
      </c>
      <c r="L13" s="601">
        <v>1</v>
      </c>
      <c r="M13" s="601">
        <v>1</v>
      </c>
      <c r="N13" s="875">
        <v>1</v>
      </c>
    </row>
    <row r="14" spans="1:14" s="191" customFormat="1" ht="21.75" customHeight="1">
      <c r="A14" s="1612"/>
      <c r="B14" s="1533"/>
      <c r="C14" s="1731"/>
      <c r="D14" s="1728"/>
      <c r="E14" s="1728"/>
      <c r="F14" s="1181"/>
      <c r="G14" s="1181"/>
      <c r="H14" s="1181"/>
      <c r="I14" s="1353"/>
      <c r="J14" s="1353"/>
      <c r="K14" s="879" t="s">
        <v>654</v>
      </c>
      <c r="L14" s="1037">
        <v>1.9</v>
      </c>
      <c r="M14" s="534">
        <v>0</v>
      </c>
      <c r="N14" s="535">
        <v>0</v>
      </c>
    </row>
    <row r="15" spans="1:14" s="191" customFormat="1" ht="26.25" customHeight="1">
      <c r="A15" s="1612"/>
      <c r="B15" s="1533"/>
      <c r="C15" s="1731"/>
      <c r="D15" s="1728"/>
      <c r="E15" s="1728"/>
      <c r="F15" s="1181"/>
      <c r="G15" s="1181"/>
      <c r="H15" s="1181"/>
      <c r="I15" s="1353"/>
      <c r="J15" s="1353"/>
      <c r="K15" s="879" t="s">
        <v>311</v>
      </c>
      <c r="L15" s="534">
        <v>20</v>
      </c>
      <c r="M15" s="534">
        <v>20</v>
      </c>
      <c r="N15" s="535">
        <v>20</v>
      </c>
    </row>
    <row r="16" spans="1:14" s="191" customFormat="1" ht="44.25" customHeight="1">
      <c r="A16" s="1612"/>
      <c r="B16" s="1533"/>
      <c r="C16" s="1731"/>
      <c r="D16" s="1728"/>
      <c r="E16" s="1728"/>
      <c r="F16" s="1181"/>
      <c r="G16" s="1181"/>
      <c r="H16" s="1181"/>
      <c r="I16" s="1353"/>
      <c r="J16" s="1353"/>
      <c r="K16" s="879" t="s">
        <v>351</v>
      </c>
      <c r="L16" s="534">
        <v>277</v>
      </c>
      <c r="M16" s="534">
        <v>100</v>
      </c>
      <c r="N16" s="535">
        <v>100</v>
      </c>
    </row>
    <row r="17" spans="1:14" s="191" customFormat="1" ht="25.5" customHeight="1">
      <c r="A17" s="1612"/>
      <c r="B17" s="1533"/>
      <c r="C17" s="1731"/>
      <c r="D17" s="1728"/>
      <c r="E17" s="1728"/>
      <c r="F17" s="1181"/>
      <c r="G17" s="1181"/>
      <c r="H17" s="1181"/>
      <c r="I17" s="1353"/>
      <c r="J17" s="1353"/>
      <c r="K17" s="879" t="s">
        <v>352</v>
      </c>
      <c r="L17" s="534">
        <v>20</v>
      </c>
      <c r="M17" s="534">
        <v>20</v>
      </c>
      <c r="N17" s="535">
        <v>20</v>
      </c>
    </row>
    <row r="18" spans="1:14" s="191" customFormat="1" ht="25.5" customHeight="1">
      <c r="A18" s="1612"/>
      <c r="B18" s="1533"/>
      <c r="C18" s="1731"/>
      <c r="D18" s="1728"/>
      <c r="E18" s="1728"/>
      <c r="F18" s="1181"/>
      <c r="G18" s="1181"/>
      <c r="H18" s="1181"/>
      <c r="I18" s="1353"/>
      <c r="J18" s="1353"/>
      <c r="K18" s="879" t="s">
        <v>657</v>
      </c>
      <c r="L18" s="534">
        <v>1</v>
      </c>
      <c r="M18" s="534">
        <v>0</v>
      </c>
      <c r="N18" s="535">
        <v>0</v>
      </c>
    </row>
    <row r="19" spans="1:14" s="191" customFormat="1" ht="37.5" customHeight="1" thickBot="1">
      <c r="A19" s="1612"/>
      <c r="B19" s="1533"/>
      <c r="C19" s="1732"/>
      <c r="D19" s="1733"/>
      <c r="E19" s="1733"/>
      <c r="F19" s="1183"/>
      <c r="G19" s="1183"/>
      <c r="H19" s="1183"/>
      <c r="I19" s="1354"/>
      <c r="J19" s="1354"/>
      <c r="K19" s="944" t="s">
        <v>655</v>
      </c>
      <c r="L19" s="533">
        <v>2</v>
      </c>
      <c r="M19" s="533">
        <v>0</v>
      </c>
      <c r="N19" s="877">
        <v>0</v>
      </c>
    </row>
    <row r="20" spans="1:14" ht="13.5" thickBot="1">
      <c r="A20" s="1612"/>
      <c r="B20" s="1533"/>
      <c r="C20" s="1729" t="s">
        <v>118</v>
      </c>
      <c r="D20" s="1730"/>
      <c r="E20" s="1730"/>
      <c r="F20" s="1730"/>
      <c r="G20" s="1730"/>
      <c r="H20" s="995">
        <f>H13+H14</f>
        <v>338.2</v>
      </c>
      <c r="I20" s="996">
        <f>I13+I14</f>
        <v>338.2</v>
      </c>
      <c r="J20" s="996">
        <f>J13+J14</f>
        <v>338.2</v>
      </c>
      <c r="K20" s="389"/>
      <c r="L20" s="428"/>
      <c r="M20" s="428"/>
      <c r="N20" s="429"/>
    </row>
    <row r="21" spans="1:14" ht="10.5" customHeight="1">
      <c r="A21" s="1612"/>
      <c r="B21" s="1533"/>
      <c r="C21" s="1712" t="s">
        <v>190</v>
      </c>
      <c r="D21" s="1716"/>
      <c r="E21" s="1716"/>
      <c r="F21" s="1629" t="s">
        <v>171</v>
      </c>
      <c r="G21" s="1629" t="s">
        <v>152</v>
      </c>
      <c r="H21" s="1367">
        <f>5</f>
        <v>5</v>
      </c>
      <c r="I21" s="1367">
        <f>5</f>
        <v>5</v>
      </c>
      <c r="J21" s="1367">
        <f>5</f>
        <v>5</v>
      </c>
      <c r="K21" s="1655" t="s">
        <v>345</v>
      </c>
      <c r="L21" s="1448">
        <v>0</v>
      </c>
      <c r="M21" s="1448">
        <v>10</v>
      </c>
      <c r="N21" s="1446">
        <v>10</v>
      </c>
    </row>
    <row r="22" spans="1:14" ht="14.25" customHeight="1">
      <c r="A22" s="1612"/>
      <c r="B22" s="1533"/>
      <c r="C22" s="1714"/>
      <c r="D22" s="1662"/>
      <c r="E22" s="1662"/>
      <c r="F22" s="1662"/>
      <c r="G22" s="1662"/>
      <c r="H22" s="1662"/>
      <c r="I22" s="1643"/>
      <c r="J22" s="1643"/>
      <c r="K22" s="1391"/>
      <c r="L22" s="1229"/>
      <c r="M22" s="1229"/>
      <c r="N22" s="1656"/>
    </row>
    <row r="23" spans="1:14" ht="9.75" customHeight="1">
      <c r="A23" s="1612"/>
      <c r="B23" s="1533"/>
      <c r="C23" s="1714"/>
      <c r="D23" s="1662"/>
      <c r="E23" s="1662"/>
      <c r="F23" s="1181"/>
      <c r="G23" s="1181"/>
      <c r="H23" s="1181"/>
      <c r="I23" s="1353"/>
      <c r="J23" s="1353"/>
      <c r="K23" s="1537"/>
      <c r="L23" s="1386"/>
      <c r="M23" s="1386"/>
      <c r="N23" s="1540"/>
    </row>
    <row r="24" spans="1:14" s="435" customFormat="1" ht="12.75" customHeight="1">
      <c r="A24" s="1612"/>
      <c r="B24" s="1533"/>
      <c r="C24" s="1180"/>
      <c r="D24" s="1181"/>
      <c r="E24" s="1181"/>
      <c r="F24" s="1181"/>
      <c r="G24" s="1181"/>
      <c r="H24" s="1181"/>
      <c r="I24" s="1353"/>
      <c r="J24" s="1353"/>
      <c r="K24" s="1657" t="s">
        <v>659</v>
      </c>
      <c r="L24" s="1659">
        <v>20</v>
      </c>
      <c r="M24" s="1659">
        <v>20</v>
      </c>
      <c r="N24" s="1660">
        <v>20</v>
      </c>
    </row>
    <row r="25" spans="1:14" s="435" customFormat="1" ht="14.25" customHeight="1" thickBot="1">
      <c r="A25" s="1612"/>
      <c r="B25" s="1533"/>
      <c r="C25" s="1182"/>
      <c r="D25" s="1183"/>
      <c r="E25" s="1183"/>
      <c r="F25" s="1183"/>
      <c r="G25" s="1183"/>
      <c r="H25" s="1183"/>
      <c r="I25" s="1354"/>
      <c r="J25" s="1354"/>
      <c r="K25" s="1658"/>
      <c r="L25" s="1202"/>
      <c r="M25" s="1202"/>
      <c r="N25" s="1661"/>
    </row>
    <row r="26" spans="1:14" ht="13.5" thickBot="1">
      <c r="A26" s="1612"/>
      <c r="B26" s="1533"/>
      <c r="C26" s="1617" t="s">
        <v>118</v>
      </c>
      <c r="D26" s="1603"/>
      <c r="E26" s="1603"/>
      <c r="F26" s="1603"/>
      <c r="G26" s="1604"/>
      <c r="H26" s="766">
        <f>SUM(H21:H23)</f>
        <v>5</v>
      </c>
      <c r="I26" s="767">
        <f>SUM(I21:I23)</f>
        <v>5</v>
      </c>
      <c r="J26" s="767">
        <f>SUM(J21:J23)</f>
        <v>5</v>
      </c>
      <c r="K26" s="241"/>
      <c r="L26" s="361"/>
      <c r="M26" s="361"/>
      <c r="N26" s="362"/>
    </row>
    <row r="27" spans="1:14" ht="24" customHeight="1">
      <c r="A27" s="1612"/>
      <c r="B27" s="1533"/>
      <c r="C27" s="1630" t="s">
        <v>191</v>
      </c>
      <c r="D27" s="1631"/>
      <c r="E27" s="1631"/>
      <c r="F27" s="1634" t="s">
        <v>171</v>
      </c>
      <c r="G27" s="1634" t="s">
        <v>152</v>
      </c>
      <c r="H27" s="1642">
        <f>20+3</f>
        <v>23</v>
      </c>
      <c r="I27" s="1642">
        <f>H27*1.006</f>
        <v>23.138000000000002</v>
      </c>
      <c r="J27" s="1642">
        <f>I27*1.006</f>
        <v>23.276828000000002</v>
      </c>
      <c r="K27" s="1036" t="s">
        <v>656</v>
      </c>
      <c r="L27" s="601">
        <v>120</v>
      </c>
      <c r="M27" s="601">
        <v>100</v>
      </c>
      <c r="N27" s="875">
        <v>90</v>
      </c>
    </row>
    <row r="28" spans="1:14" s="191" customFormat="1" ht="20.25" customHeight="1" thickBot="1">
      <c r="A28" s="1612"/>
      <c r="B28" s="1533"/>
      <c r="C28" s="1632"/>
      <c r="D28" s="1633"/>
      <c r="E28" s="1633"/>
      <c r="F28" s="1635"/>
      <c r="G28" s="1635"/>
      <c r="H28" s="1635"/>
      <c r="I28" s="1644"/>
      <c r="J28" s="1644"/>
      <c r="K28" s="955" t="s">
        <v>353</v>
      </c>
      <c r="L28" s="921">
        <v>23</v>
      </c>
      <c r="M28" s="921">
        <v>25</v>
      </c>
      <c r="N28" s="922">
        <v>30</v>
      </c>
    </row>
    <row r="29" spans="1:14" ht="11.25" customHeight="1" thickBot="1">
      <c r="A29" s="1612"/>
      <c r="B29" s="1533"/>
      <c r="C29" s="1616" t="s">
        <v>118</v>
      </c>
      <c r="D29" s="1603"/>
      <c r="E29" s="1603"/>
      <c r="F29" s="1603"/>
      <c r="G29" s="1604"/>
      <c r="H29" s="766">
        <f>SUM(H27:H27)</f>
        <v>23</v>
      </c>
      <c r="I29" s="767">
        <f>SUM(I27:I27)</f>
        <v>23.138000000000002</v>
      </c>
      <c r="J29" s="767">
        <f>SUM(J27:J27)</f>
        <v>23.276828000000002</v>
      </c>
      <c r="K29" s="240"/>
      <c r="L29" s="359"/>
      <c r="M29" s="359"/>
      <c r="N29" s="360"/>
    </row>
    <row r="30" spans="1:14" ht="22.5" customHeight="1" thickBot="1">
      <c r="A30" s="1612"/>
      <c r="B30" s="1533"/>
      <c r="C30" s="1709" t="s">
        <v>192</v>
      </c>
      <c r="D30" s="1710"/>
      <c r="E30" s="1711"/>
      <c r="F30" s="1030" t="s">
        <v>171</v>
      </c>
      <c r="G30" s="1029" t="s">
        <v>152</v>
      </c>
      <c r="H30" s="852">
        <v>35</v>
      </c>
      <c r="I30" s="590">
        <f>H30*1.006</f>
        <v>35.21</v>
      </c>
      <c r="J30" s="590">
        <f>I30*1.006</f>
        <v>35.421260000000004</v>
      </c>
      <c r="K30" s="1035" t="s">
        <v>361</v>
      </c>
      <c r="L30" s="370">
        <v>46</v>
      </c>
      <c r="M30" s="370">
        <v>60</v>
      </c>
      <c r="N30" s="371">
        <v>70</v>
      </c>
    </row>
    <row r="31" spans="1:14" ht="13.5" thickBot="1">
      <c r="A31" s="1612"/>
      <c r="B31" s="1533"/>
      <c r="C31" s="1402" t="s">
        <v>118</v>
      </c>
      <c r="D31" s="1605"/>
      <c r="E31" s="1605"/>
      <c r="F31" s="1605"/>
      <c r="G31" s="1606"/>
      <c r="H31" s="755">
        <f>SUM(H30)</f>
        <v>35</v>
      </c>
      <c r="I31" s="756">
        <f>SUM(I30)</f>
        <v>35.21</v>
      </c>
      <c r="J31" s="896">
        <f>SUM(J30)</f>
        <v>35.421260000000004</v>
      </c>
      <c r="K31" s="363"/>
      <c r="L31" s="349"/>
      <c r="M31" s="349"/>
      <c r="N31" s="348"/>
    </row>
    <row r="32" spans="1:14" s="436" customFormat="1">
      <c r="A32" s="1612"/>
      <c r="B32" s="1533"/>
      <c r="C32" s="1712" t="s">
        <v>820</v>
      </c>
      <c r="D32" s="1713"/>
      <c r="E32" s="1713"/>
      <c r="F32" s="1699" t="s">
        <v>171</v>
      </c>
      <c r="G32" s="1607" t="s">
        <v>121</v>
      </c>
      <c r="H32" s="1374">
        <v>0</v>
      </c>
      <c r="I32" s="1374">
        <v>0</v>
      </c>
      <c r="J32" s="1374">
        <v>243</v>
      </c>
      <c r="K32" s="1667" t="s">
        <v>344</v>
      </c>
      <c r="L32" s="1669">
        <v>75</v>
      </c>
      <c r="M32" s="1669">
        <v>0</v>
      </c>
      <c r="N32" s="1636">
        <v>0</v>
      </c>
    </row>
    <row r="33" spans="1:64" s="436" customFormat="1">
      <c r="A33" s="1612"/>
      <c r="B33" s="1533"/>
      <c r="C33" s="1714"/>
      <c r="D33" s="1662"/>
      <c r="E33" s="1662"/>
      <c r="F33" s="1700"/>
      <c r="G33" s="1608"/>
      <c r="H33" s="1608"/>
      <c r="I33" s="1663"/>
      <c r="J33" s="1663"/>
      <c r="K33" s="1668" t="s">
        <v>344</v>
      </c>
      <c r="L33" s="1670">
        <v>75</v>
      </c>
      <c r="M33" s="1670"/>
      <c r="N33" s="1637"/>
    </row>
    <row r="34" spans="1:64" s="436" customFormat="1" ht="33.75">
      <c r="A34" s="1612"/>
      <c r="B34" s="1533"/>
      <c r="C34" s="1714"/>
      <c r="D34" s="1662"/>
      <c r="E34" s="1662"/>
      <c r="F34" s="1229"/>
      <c r="G34" s="1648" t="s">
        <v>143</v>
      </c>
      <c r="H34" s="1389">
        <v>1480</v>
      </c>
      <c r="I34" s="1722">
        <v>243</v>
      </c>
      <c r="J34" s="1722"/>
      <c r="K34" s="599" t="s">
        <v>658</v>
      </c>
      <c r="L34" s="1046">
        <v>38</v>
      </c>
      <c r="M34" s="1046">
        <v>0</v>
      </c>
      <c r="N34" s="1047">
        <v>0</v>
      </c>
    </row>
    <row r="35" spans="1:64" s="436" customFormat="1" ht="13.5" thickBot="1">
      <c r="A35" s="1612"/>
      <c r="B35" s="1533"/>
      <c r="C35" s="1715"/>
      <c r="D35" s="1686"/>
      <c r="E35" s="1686"/>
      <c r="F35" s="1202"/>
      <c r="G35" s="1649"/>
      <c r="H35" s="1700"/>
      <c r="I35" s="1700"/>
      <c r="J35" s="1700"/>
      <c r="K35" s="493" t="s">
        <v>596</v>
      </c>
      <c r="L35" s="494">
        <v>80</v>
      </c>
      <c r="M35" s="494">
        <v>100</v>
      </c>
      <c r="N35" s="1048"/>
    </row>
    <row r="36" spans="1:64" s="435" customFormat="1" ht="13.5" thickBot="1">
      <c r="A36" s="1612"/>
      <c r="B36" s="1533"/>
      <c r="C36" s="1616" t="s">
        <v>118</v>
      </c>
      <c r="D36" s="1603"/>
      <c r="E36" s="1603"/>
      <c r="F36" s="1603"/>
      <c r="G36" s="1603"/>
      <c r="H36" s="766">
        <f>SUM(H32:H34)</f>
        <v>1480</v>
      </c>
      <c r="I36" s="767">
        <f t="shared" ref="I36:J36" si="2">SUM(I32:I34)</f>
        <v>243</v>
      </c>
      <c r="J36" s="767">
        <f t="shared" si="2"/>
        <v>243</v>
      </c>
      <c r="K36" s="240"/>
      <c r="L36" s="359"/>
      <c r="M36" s="359"/>
      <c r="N36" s="360"/>
    </row>
    <row r="37" spans="1:64" s="435" customFormat="1" ht="33.75" customHeight="1">
      <c r="A37" s="1612"/>
      <c r="B37" s="1533"/>
      <c r="C37" s="1630" t="s">
        <v>662</v>
      </c>
      <c r="D37" s="1631"/>
      <c r="E37" s="1631"/>
      <c r="F37" s="1634" t="s">
        <v>171</v>
      </c>
      <c r="G37" s="855" t="s">
        <v>121</v>
      </c>
      <c r="H37" s="859">
        <v>27.8</v>
      </c>
      <c r="I37" s="607">
        <v>0</v>
      </c>
      <c r="J37" s="607">
        <v>0</v>
      </c>
      <c r="K37" s="1026" t="s">
        <v>667</v>
      </c>
      <c r="L37" s="731">
        <v>5</v>
      </c>
      <c r="M37" s="731"/>
      <c r="N37" s="779"/>
    </row>
    <row r="38" spans="1:64" s="435" customFormat="1" ht="24.75" customHeight="1" thickBot="1">
      <c r="A38" s="1612"/>
      <c r="B38" s="1533"/>
      <c r="C38" s="1632"/>
      <c r="D38" s="1633"/>
      <c r="E38" s="1633"/>
      <c r="F38" s="1635"/>
      <c r="G38" s="1045" t="s">
        <v>143</v>
      </c>
      <c r="H38" s="1108">
        <v>158</v>
      </c>
      <c r="I38" s="1109">
        <v>0</v>
      </c>
      <c r="J38" s="1109">
        <v>0</v>
      </c>
      <c r="K38" s="597" t="s">
        <v>596</v>
      </c>
      <c r="L38" s="598">
        <v>100</v>
      </c>
      <c r="M38" s="598"/>
      <c r="N38" s="814"/>
    </row>
    <row r="39" spans="1:64" s="435" customFormat="1" ht="13.5" thickBot="1">
      <c r="A39" s="1612"/>
      <c r="B39" s="1533"/>
      <c r="C39" s="1402" t="s">
        <v>118</v>
      </c>
      <c r="D39" s="1605"/>
      <c r="E39" s="1605"/>
      <c r="F39" s="1605"/>
      <c r="G39" s="1606"/>
      <c r="H39" s="1043">
        <f>H37+H38</f>
        <v>185.8</v>
      </c>
      <c r="I39" s="767">
        <f t="shared" ref="I39:J39" si="3">I37+I38</f>
        <v>0</v>
      </c>
      <c r="J39" s="767">
        <f t="shared" si="3"/>
        <v>0</v>
      </c>
      <c r="K39" s="240"/>
      <c r="L39" s="359"/>
      <c r="M39" s="359"/>
      <c r="N39" s="360"/>
    </row>
    <row r="40" spans="1:64" s="16" customFormat="1" ht="12" thickBot="1">
      <c r="A40" s="1613"/>
      <c r="B40" s="1044"/>
      <c r="C40" s="1616" t="s">
        <v>119</v>
      </c>
      <c r="D40" s="1603"/>
      <c r="E40" s="1603"/>
      <c r="F40" s="1603"/>
      <c r="G40" s="1604"/>
      <c r="H40" s="898">
        <f>H12+H20+H26+H29+H31+H36+H39</f>
        <v>2108</v>
      </c>
      <c r="I40" s="926">
        <f t="shared" ref="I40:J40" si="4">I12+I20+I26+I29+I31+I36+I39</f>
        <v>685.548</v>
      </c>
      <c r="J40" s="926">
        <f t="shared" si="4"/>
        <v>685.89808800000003</v>
      </c>
      <c r="K40" s="364"/>
      <c r="L40" s="427"/>
      <c r="M40" s="427"/>
      <c r="N40" s="425"/>
    </row>
    <row r="41" spans="1:64" s="7" customFormat="1" ht="22.5">
      <c r="A41" s="1612"/>
      <c r="B41" s="1645" t="s">
        <v>58</v>
      </c>
      <c r="C41" s="1630" t="s">
        <v>2</v>
      </c>
      <c r="D41" s="1726"/>
      <c r="E41" s="1726"/>
      <c r="F41" s="1723" t="s">
        <v>171</v>
      </c>
      <c r="G41" s="1725" t="s">
        <v>152</v>
      </c>
      <c r="H41" s="1642">
        <f>16.6</f>
        <v>16.600000000000001</v>
      </c>
      <c r="I41" s="1642">
        <f t="shared" ref="I41:J41" si="5">16.6</f>
        <v>16.600000000000001</v>
      </c>
      <c r="J41" s="1642">
        <f t="shared" si="5"/>
        <v>16.600000000000001</v>
      </c>
      <c r="K41" s="497" t="s">
        <v>354</v>
      </c>
      <c r="L41" s="731">
        <v>175</v>
      </c>
      <c r="M41" s="731">
        <v>160</v>
      </c>
      <c r="N41" s="779">
        <v>150</v>
      </c>
    </row>
    <row r="42" spans="1:64" s="192" customFormat="1" ht="25.5" customHeight="1">
      <c r="A42" s="1612"/>
      <c r="B42" s="1646"/>
      <c r="C42" s="1727"/>
      <c r="D42" s="1728"/>
      <c r="E42" s="1728"/>
      <c r="F42" s="1724"/>
      <c r="G42" s="1700"/>
      <c r="H42" s="1662"/>
      <c r="I42" s="1643"/>
      <c r="J42" s="1643"/>
      <c r="K42" s="497" t="s">
        <v>360</v>
      </c>
      <c r="L42" s="731">
        <v>3300</v>
      </c>
      <c r="M42" s="731">
        <v>3000</v>
      </c>
      <c r="N42" s="779">
        <v>2800</v>
      </c>
    </row>
    <row r="43" spans="1:64" s="192" customFormat="1" ht="27" customHeight="1">
      <c r="A43" s="1612"/>
      <c r="B43" s="1646"/>
      <c r="C43" s="1727"/>
      <c r="D43" s="1728"/>
      <c r="E43" s="1728"/>
      <c r="F43" s="1724"/>
      <c r="G43" s="1700"/>
      <c r="H43" s="1662"/>
      <c r="I43" s="1643"/>
      <c r="J43" s="1643"/>
      <c r="K43" s="497" t="s">
        <v>355</v>
      </c>
      <c r="L43" s="731">
        <v>0</v>
      </c>
      <c r="M43" s="731">
        <v>0</v>
      </c>
      <c r="N43" s="779">
        <v>0</v>
      </c>
    </row>
    <row r="44" spans="1:64" s="192" customFormat="1" ht="23.25" thickBot="1">
      <c r="A44" s="1612"/>
      <c r="B44" s="1646"/>
      <c r="C44" s="1632"/>
      <c r="D44" s="1633"/>
      <c r="E44" s="1633"/>
      <c r="F44" s="1724"/>
      <c r="G44" s="1700"/>
      <c r="H44" s="1635"/>
      <c r="I44" s="1644"/>
      <c r="J44" s="1644"/>
      <c r="K44" s="471" t="s">
        <v>359</v>
      </c>
      <c r="L44" s="813">
        <v>2</v>
      </c>
      <c r="M44" s="813">
        <v>2</v>
      </c>
      <c r="N44" s="814">
        <v>2</v>
      </c>
    </row>
    <row r="45" spans="1:64" s="7" customFormat="1" ht="13.5" thickBot="1">
      <c r="A45" s="1612"/>
      <c r="B45" s="1647"/>
      <c r="C45" s="1617" t="s">
        <v>118</v>
      </c>
      <c r="D45" s="1603"/>
      <c r="E45" s="1603"/>
      <c r="F45" s="1603"/>
      <c r="G45" s="1604"/>
      <c r="H45" s="766">
        <f>SUM(H41)</f>
        <v>16.600000000000001</v>
      </c>
      <c r="I45" s="767">
        <f>SUM(I41)</f>
        <v>16.600000000000001</v>
      </c>
      <c r="J45" s="874">
        <f>SUM(J41)</f>
        <v>16.600000000000001</v>
      </c>
      <c r="K45" s="212"/>
      <c r="L45" s="359"/>
      <c r="M45" s="359"/>
      <c r="N45" s="360"/>
    </row>
    <row r="46" spans="1:64" s="7" customFormat="1" ht="13.5" thickBot="1">
      <c r="A46" s="1612"/>
      <c r="B46" s="1617" t="s">
        <v>119</v>
      </c>
      <c r="C46" s="1603"/>
      <c r="D46" s="1603"/>
      <c r="E46" s="1603"/>
      <c r="F46" s="1603"/>
      <c r="G46" s="1604"/>
      <c r="H46" s="766">
        <f>H45</f>
        <v>16.600000000000001</v>
      </c>
      <c r="I46" s="767">
        <f>I45</f>
        <v>16.600000000000001</v>
      </c>
      <c r="J46" s="767">
        <f>J45</f>
        <v>16.600000000000001</v>
      </c>
      <c r="K46" s="359"/>
      <c r="L46" s="359"/>
      <c r="M46" s="359"/>
      <c r="N46" s="360"/>
    </row>
    <row r="47" spans="1:64" s="443" customFormat="1" ht="40.5" customHeight="1">
      <c r="A47" s="1612"/>
      <c r="B47" s="1615" t="s">
        <v>423</v>
      </c>
      <c r="C47" s="1712" t="s">
        <v>422</v>
      </c>
      <c r="D47" s="1713"/>
      <c r="E47" s="1713"/>
      <c r="F47" s="1629" t="s">
        <v>171</v>
      </c>
      <c r="G47" s="1719" t="s">
        <v>152</v>
      </c>
      <c r="H47" s="1199">
        <v>2</v>
      </c>
      <c r="I47" s="1199">
        <f>H47*1.006</f>
        <v>2.012</v>
      </c>
      <c r="J47" s="1199">
        <f>I47*1.006</f>
        <v>2.0240719999999999</v>
      </c>
      <c r="K47" s="601" t="s">
        <v>356</v>
      </c>
      <c r="L47" s="1031">
        <v>2</v>
      </c>
      <c r="M47" s="1031">
        <v>2</v>
      </c>
      <c r="N47" s="1032">
        <v>2</v>
      </c>
      <c r="O47" s="436"/>
      <c r="P47" s="436"/>
      <c r="Q47" s="436"/>
      <c r="R47" s="436"/>
      <c r="S47" s="436"/>
      <c r="T47" s="436"/>
      <c r="U47" s="436"/>
      <c r="V47" s="436"/>
      <c r="W47" s="436"/>
      <c r="X47" s="436"/>
      <c r="Y47" s="436"/>
      <c r="Z47" s="436"/>
      <c r="AA47" s="436"/>
      <c r="AB47" s="436"/>
      <c r="AC47" s="436"/>
      <c r="AD47" s="436"/>
      <c r="AE47" s="436"/>
      <c r="AF47" s="436"/>
      <c r="AG47" s="436"/>
      <c r="AH47" s="436"/>
      <c r="AI47" s="436"/>
      <c r="AJ47" s="436"/>
      <c r="AK47" s="436"/>
      <c r="AL47" s="436"/>
      <c r="AM47" s="436"/>
      <c r="AN47" s="436"/>
      <c r="AO47" s="436"/>
      <c r="AP47" s="436"/>
      <c r="AQ47" s="436"/>
      <c r="AR47" s="436"/>
      <c r="AS47" s="436"/>
      <c r="AT47" s="436"/>
      <c r="AU47" s="436"/>
      <c r="AV47" s="436"/>
      <c r="AW47" s="436"/>
      <c r="AX47" s="436"/>
      <c r="AY47" s="436"/>
      <c r="AZ47" s="436"/>
      <c r="BA47" s="436"/>
      <c r="BB47" s="436"/>
      <c r="BC47" s="436"/>
      <c r="BD47" s="436"/>
      <c r="BE47" s="436"/>
      <c r="BF47" s="436"/>
      <c r="BG47" s="436"/>
      <c r="BH47" s="436"/>
      <c r="BI47" s="436"/>
      <c r="BJ47" s="436"/>
      <c r="BK47" s="436"/>
      <c r="BL47" s="436"/>
    </row>
    <row r="48" spans="1:64" s="443" customFormat="1" ht="40.5" customHeight="1" thickBot="1">
      <c r="A48" s="1612"/>
      <c r="B48" s="1615"/>
      <c r="C48" s="1721"/>
      <c r="D48" s="1686"/>
      <c r="E48" s="1686"/>
      <c r="F48" s="1718"/>
      <c r="G48" s="1720"/>
      <c r="H48" s="1582"/>
      <c r="I48" s="1582"/>
      <c r="J48" s="1582"/>
      <c r="K48" s="533" t="s">
        <v>357</v>
      </c>
      <c r="L48" s="1033">
        <v>2</v>
      </c>
      <c r="M48" s="1033">
        <v>2</v>
      </c>
      <c r="N48" s="1034">
        <v>2</v>
      </c>
      <c r="O48" s="436"/>
      <c r="P48" s="436"/>
      <c r="Q48" s="436"/>
      <c r="R48" s="436"/>
      <c r="S48" s="436"/>
      <c r="T48" s="436"/>
      <c r="U48" s="436"/>
      <c r="V48" s="436"/>
      <c r="W48" s="436"/>
      <c r="X48" s="436"/>
      <c r="Y48" s="436"/>
      <c r="Z48" s="436"/>
      <c r="AA48" s="436"/>
      <c r="AB48" s="436"/>
      <c r="AC48" s="436"/>
      <c r="AD48" s="436"/>
      <c r="AE48" s="436"/>
      <c r="AF48" s="436"/>
      <c r="AG48" s="436"/>
      <c r="AH48" s="436"/>
      <c r="AI48" s="436"/>
      <c r="AJ48" s="436"/>
      <c r="AK48" s="436"/>
      <c r="AL48" s="436"/>
      <c r="AM48" s="436"/>
      <c r="AN48" s="436"/>
      <c r="AO48" s="436"/>
      <c r="AP48" s="436"/>
      <c r="AQ48" s="436"/>
      <c r="AR48" s="436"/>
      <c r="AS48" s="436"/>
      <c r="AT48" s="436"/>
      <c r="AU48" s="436"/>
      <c r="AV48" s="436"/>
      <c r="AW48" s="436"/>
      <c r="AX48" s="436"/>
      <c r="AY48" s="436"/>
      <c r="AZ48" s="436"/>
      <c r="BA48" s="436"/>
      <c r="BB48" s="436"/>
      <c r="BC48" s="436"/>
      <c r="BD48" s="436"/>
      <c r="BE48" s="436"/>
      <c r="BF48" s="436"/>
      <c r="BG48" s="436"/>
      <c r="BH48" s="436"/>
      <c r="BI48" s="436"/>
      <c r="BJ48" s="436"/>
      <c r="BK48" s="436"/>
      <c r="BL48" s="436"/>
    </row>
    <row r="49" spans="1:64" s="7" customFormat="1" ht="13.5" thickBot="1">
      <c r="A49" s="1612"/>
      <c r="B49" s="1615"/>
      <c r="C49" s="1402" t="s">
        <v>118</v>
      </c>
      <c r="D49" s="1618"/>
      <c r="E49" s="1618"/>
      <c r="F49" s="1618"/>
      <c r="G49" s="1619"/>
      <c r="H49" s="367">
        <f>SUM(H47)</f>
        <v>2</v>
      </c>
      <c r="I49" s="368">
        <f>SUM(I47)</f>
        <v>2.012</v>
      </c>
      <c r="J49" s="369">
        <f>SUM(J47)</f>
        <v>2.0240719999999999</v>
      </c>
      <c r="K49" s="445"/>
      <c r="L49" s="423"/>
      <c r="M49" s="423"/>
      <c r="N49" s="446"/>
      <c r="O49" s="436"/>
      <c r="P49" s="436"/>
      <c r="Q49" s="436"/>
      <c r="R49" s="436"/>
      <c r="S49" s="436"/>
      <c r="T49" s="436"/>
      <c r="U49" s="436"/>
      <c r="V49" s="436"/>
      <c r="W49" s="436"/>
      <c r="X49" s="436"/>
      <c r="Y49" s="436"/>
      <c r="Z49" s="436"/>
      <c r="AA49" s="436"/>
      <c r="AB49" s="436"/>
      <c r="AC49" s="436"/>
      <c r="AD49" s="436"/>
      <c r="AE49" s="436"/>
      <c r="AF49" s="436"/>
      <c r="AG49" s="436"/>
      <c r="AH49" s="436"/>
      <c r="AI49" s="436"/>
      <c r="AJ49" s="436"/>
      <c r="AK49" s="436"/>
      <c r="AL49" s="436"/>
      <c r="AM49" s="436"/>
      <c r="AN49" s="436"/>
      <c r="AO49" s="436"/>
      <c r="AP49" s="436"/>
      <c r="AQ49" s="436"/>
      <c r="AR49" s="436"/>
      <c r="AS49" s="436"/>
      <c r="AT49" s="436"/>
      <c r="AU49" s="436"/>
      <c r="AV49" s="436"/>
      <c r="AW49" s="436"/>
      <c r="AX49" s="436"/>
      <c r="AY49" s="436"/>
      <c r="AZ49" s="436"/>
      <c r="BA49" s="436"/>
      <c r="BB49" s="436"/>
      <c r="BC49" s="436"/>
      <c r="BD49" s="436"/>
      <c r="BE49" s="436"/>
      <c r="BF49" s="436"/>
      <c r="BG49" s="436"/>
      <c r="BH49" s="436"/>
      <c r="BI49" s="436"/>
      <c r="BJ49" s="436"/>
      <c r="BK49" s="436"/>
      <c r="BL49" s="436"/>
    </row>
    <row r="50" spans="1:64" s="7" customFormat="1" ht="13.5" thickBot="1">
      <c r="A50" s="1612"/>
      <c r="B50" s="1617" t="s">
        <v>119</v>
      </c>
      <c r="C50" s="1638"/>
      <c r="D50" s="1638"/>
      <c r="E50" s="1638"/>
      <c r="F50" s="1638"/>
      <c r="G50" s="1638"/>
      <c r="H50" s="766">
        <f>H49</f>
        <v>2</v>
      </c>
      <c r="I50" s="767">
        <f>I49</f>
        <v>2.012</v>
      </c>
      <c r="J50" s="767">
        <f>J49</f>
        <v>2.0240719999999999</v>
      </c>
      <c r="K50" s="359"/>
      <c r="L50" s="359"/>
      <c r="M50" s="359"/>
      <c r="N50" s="360"/>
      <c r="O50" s="436"/>
    </row>
    <row r="51" spans="1:64" s="7" customFormat="1" ht="55.5" customHeight="1" thickBot="1">
      <c r="A51" s="1612"/>
      <c r="B51" s="1640" t="s">
        <v>99</v>
      </c>
      <c r="C51" s="1620" t="s">
        <v>6</v>
      </c>
      <c r="D51" s="1621"/>
      <c r="E51" s="1622"/>
      <c r="F51" s="856" t="s">
        <v>171</v>
      </c>
      <c r="G51" s="1038" t="s">
        <v>121</v>
      </c>
      <c r="H51" s="852">
        <v>3.5</v>
      </c>
      <c r="I51" s="590">
        <f>H51*1.006</f>
        <v>3.5209999999999999</v>
      </c>
      <c r="J51" s="590">
        <f>I51*1.006</f>
        <v>3.5421260000000001</v>
      </c>
      <c r="K51" s="731" t="s">
        <v>358</v>
      </c>
      <c r="L51" s="534">
        <v>9</v>
      </c>
      <c r="M51" s="534">
        <v>9</v>
      </c>
      <c r="N51" s="535">
        <v>9</v>
      </c>
      <c r="O51" s="436"/>
    </row>
    <row r="52" spans="1:64" s="16" customFormat="1" ht="12" thickBot="1">
      <c r="A52" s="1612"/>
      <c r="B52" s="1641"/>
      <c r="C52" s="1410" t="s">
        <v>118</v>
      </c>
      <c r="D52" s="1623"/>
      <c r="E52" s="1623"/>
      <c r="F52" s="1623"/>
      <c r="G52" s="1624"/>
      <c r="H52" s="766">
        <f>SUM(H51)</f>
        <v>3.5</v>
      </c>
      <c r="I52" s="767">
        <f>SUM(I51)</f>
        <v>3.5209999999999999</v>
      </c>
      <c r="J52" s="874">
        <f>SUM(J51)</f>
        <v>3.5421260000000001</v>
      </c>
      <c r="K52" s="214"/>
      <c r="L52" s="370"/>
      <c r="M52" s="370"/>
      <c r="N52" s="371"/>
    </row>
    <row r="53" spans="1:64" s="7" customFormat="1" ht="13.9" customHeight="1" thickBot="1">
      <c r="A53" s="1614"/>
      <c r="B53" s="1602" t="s">
        <v>119</v>
      </c>
      <c r="C53" s="1603"/>
      <c r="D53" s="1603"/>
      <c r="E53" s="1603"/>
      <c r="F53" s="1603"/>
      <c r="G53" s="1604"/>
      <c r="H53" s="766">
        <f>H52</f>
        <v>3.5</v>
      </c>
      <c r="I53" s="767">
        <f>I52</f>
        <v>3.5209999999999999</v>
      </c>
      <c r="J53" s="767">
        <f>J52</f>
        <v>3.5421260000000001</v>
      </c>
      <c r="K53" s="359"/>
      <c r="L53" s="359"/>
      <c r="M53" s="359"/>
      <c r="N53" s="360"/>
    </row>
    <row r="54" spans="1:64" s="7" customFormat="1" ht="13.5" thickBot="1">
      <c r="A54" s="1394" t="s">
        <v>303</v>
      </c>
      <c r="B54" s="1609"/>
      <c r="C54" s="1609"/>
      <c r="D54" s="1609"/>
      <c r="E54" s="1609"/>
      <c r="F54" s="1609"/>
      <c r="G54" s="1610"/>
      <c r="H54" s="898">
        <f>H40+H46+H50+H53</f>
        <v>2130.1</v>
      </c>
      <c r="I54" s="926">
        <f>I40+I46+I50+I53</f>
        <v>707.68099999999993</v>
      </c>
      <c r="J54" s="926">
        <f>J40+J46+J50+J53</f>
        <v>708.06428600000015</v>
      </c>
      <c r="K54" s="196"/>
      <c r="L54" s="350"/>
      <c r="M54" s="350"/>
      <c r="N54" s="257"/>
    </row>
    <row r="55" spans="1:64" s="7" customFormat="1" ht="73.5" customHeight="1" thickBot="1">
      <c r="A55" s="1171" t="s">
        <v>40</v>
      </c>
      <c r="B55" s="1171" t="s">
        <v>41</v>
      </c>
      <c r="C55" s="1340" t="s">
        <v>53</v>
      </c>
      <c r="D55" s="1340"/>
      <c r="E55" s="1341"/>
      <c r="F55" s="210" t="s">
        <v>171</v>
      </c>
      <c r="G55" s="842" t="s">
        <v>121</v>
      </c>
      <c r="H55" s="848">
        <v>13.5</v>
      </c>
      <c r="I55" s="589">
        <f>H55*1.006</f>
        <v>13.581</v>
      </c>
      <c r="J55" s="589">
        <f>I55*1.006</f>
        <v>13.662485999999999</v>
      </c>
      <c r="K55" s="591" t="s">
        <v>362</v>
      </c>
      <c r="L55" s="592">
        <v>10</v>
      </c>
      <c r="M55" s="592">
        <v>5</v>
      </c>
      <c r="N55" s="593">
        <v>5</v>
      </c>
    </row>
    <row r="56" spans="1:64" s="16" customFormat="1" ht="12" thickBot="1">
      <c r="A56" s="1639"/>
      <c r="B56" s="1639"/>
      <c r="C56" s="1617" t="s">
        <v>118</v>
      </c>
      <c r="D56" s="1627"/>
      <c r="E56" s="1627"/>
      <c r="F56" s="1627"/>
      <c r="G56" s="1628"/>
      <c r="H56" s="766">
        <f>SUM(H55)</f>
        <v>13.5</v>
      </c>
      <c r="I56" s="767">
        <f>SUM(I55)</f>
        <v>13.581</v>
      </c>
      <c r="J56" s="874">
        <f>SUM(J55)</f>
        <v>13.662485999999999</v>
      </c>
      <c r="K56" s="139"/>
      <c r="L56" s="209"/>
      <c r="M56" s="209"/>
      <c r="N56" s="251"/>
    </row>
    <row r="57" spans="1:64" s="16" customFormat="1" ht="36.75" customHeight="1" thickBot="1">
      <c r="A57" s="1639"/>
      <c r="B57" s="1639"/>
      <c r="C57" s="1299" t="s">
        <v>660</v>
      </c>
      <c r="D57" s="1666"/>
      <c r="E57" s="1666"/>
      <c r="F57" s="586" t="s">
        <v>171</v>
      </c>
      <c r="G57" s="574" t="s">
        <v>120</v>
      </c>
      <c r="H57" s="570">
        <v>1</v>
      </c>
      <c r="I57" s="570">
        <f>H57*1.006</f>
        <v>1.006</v>
      </c>
      <c r="J57" s="570">
        <f>I57*1.006</f>
        <v>1.0120359999999999</v>
      </c>
      <c r="K57" s="507" t="s">
        <v>363</v>
      </c>
      <c r="L57" s="509">
        <v>4</v>
      </c>
      <c r="M57" s="509">
        <v>4</v>
      </c>
      <c r="N57" s="517">
        <v>4</v>
      </c>
    </row>
    <row r="58" spans="1:64" s="16" customFormat="1" ht="12" thickBot="1">
      <c r="A58" s="1639"/>
      <c r="B58" s="1639"/>
      <c r="C58" s="1617" t="s">
        <v>118</v>
      </c>
      <c r="D58" s="1664"/>
      <c r="E58" s="1664"/>
      <c r="F58" s="1664"/>
      <c r="G58" s="1665"/>
      <c r="H58" s="766">
        <f>SUM(H57)</f>
        <v>1</v>
      </c>
      <c r="I58" s="767">
        <f>SUM(I57)</f>
        <v>1.006</v>
      </c>
      <c r="J58" s="874">
        <f>SUM(J57)</f>
        <v>1.0120359999999999</v>
      </c>
      <c r="K58" s="152"/>
      <c r="L58" s="258"/>
      <c r="M58" s="258"/>
      <c r="N58" s="259"/>
    </row>
    <row r="59" spans="1:64" s="16" customFormat="1" ht="12" thickBot="1">
      <c r="A59" s="1639"/>
      <c r="B59" s="1617" t="s">
        <v>119</v>
      </c>
      <c r="C59" s="1625"/>
      <c r="D59" s="1625"/>
      <c r="E59" s="1625"/>
      <c r="F59" s="1625"/>
      <c r="G59" s="1626"/>
      <c r="H59" s="412">
        <f>H58+H56</f>
        <v>14.5</v>
      </c>
      <c r="I59" s="414">
        <f>I58+I56</f>
        <v>14.587</v>
      </c>
      <c r="J59" s="414">
        <f>J58+J56</f>
        <v>14.674522</v>
      </c>
      <c r="K59" s="439"/>
      <c r="L59" s="264"/>
      <c r="M59" s="264"/>
      <c r="N59" s="265"/>
    </row>
    <row r="60" spans="1:64" s="7" customFormat="1" ht="13.5" thickBot="1">
      <c r="A60" s="1203" t="s">
        <v>303</v>
      </c>
      <c r="B60" s="1650"/>
      <c r="C60" s="1650"/>
      <c r="D60" s="1650"/>
      <c r="E60" s="1650"/>
      <c r="F60" s="1650"/>
      <c r="G60" s="1650"/>
      <c r="H60" s="188">
        <f>H59</f>
        <v>14.5</v>
      </c>
      <c r="I60" s="189">
        <f t="shared" ref="I60:J60" si="6">I59</f>
        <v>14.587</v>
      </c>
      <c r="J60" s="189">
        <f t="shared" si="6"/>
        <v>14.674522</v>
      </c>
      <c r="K60" s="381"/>
      <c r="L60" s="260"/>
      <c r="M60" s="260"/>
      <c r="N60" s="261"/>
      <c r="O60" s="193"/>
    </row>
    <row r="61" spans="1:64" s="443" customFormat="1" ht="28.5" customHeight="1" thickBot="1">
      <c r="A61" s="1171" t="s">
        <v>3</v>
      </c>
      <c r="B61" s="1171" t="s">
        <v>154</v>
      </c>
      <c r="C61" s="1340" t="s">
        <v>4</v>
      </c>
      <c r="D61" s="1600"/>
      <c r="E61" s="1601"/>
      <c r="F61" s="856" t="s">
        <v>171</v>
      </c>
      <c r="G61" s="842" t="s">
        <v>121</v>
      </c>
      <c r="H61" s="857">
        <v>11.3</v>
      </c>
      <c r="I61" s="590">
        <f>H61*1.006</f>
        <v>11.367800000000001</v>
      </c>
      <c r="J61" s="590">
        <f>I61*1.006</f>
        <v>11.436006800000001</v>
      </c>
      <c r="K61" s="1027" t="s">
        <v>364</v>
      </c>
      <c r="L61" s="472">
        <v>6</v>
      </c>
      <c r="M61" s="472">
        <v>6</v>
      </c>
      <c r="N61" s="997">
        <v>6</v>
      </c>
      <c r="O61" s="377"/>
      <c r="P61" s="436"/>
      <c r="Q61" s="436"/>
      <c r="R61" s="436"/>
      <c r="S61" s="436"/>
      <c r="T61" s="436"/>
      <c r="U61" s="436"/>
      <c r="V61" s="436"/>
      <c r="W61" s="436"/>
      <c r="X61" s="436"/>
      <c r="Y61" s="436"/>
      <c r="Z61" s="436"/>
      <c r="AA61" s="436"/>
      <c r="AB61" s="436"/>
      <c r="AC61" s="436"/>
      <c r="AD61" s="436"/>
      <c r="AE61" s="436"/>
      <c r="AF61" s="436"/>
      <c r="AG61" s="436"/>
      <c r="AH61" s="436"/>
      <c r="AI61" s="436"/>
      <c r="AJ61" s="436"/>
      <c r="AK61" s="436"/>
      <c r="AL61" s="436"/>
      <c r="AM61" s="436"/>
      <c r="AN61" s="436"/>
      <c r="AO61" s="436"/>
      <c r="AP61" s="436"/>
      <c r="AQ61" s="436"/>
      <c r="AR61" s="436"/>
      <c r="AS61" s="436"/>
      <c r="AT61" s="436"/>
      <c r="AU61" s="436"/>
      <c r="AV61" s="436"/>
      <c r="AW61" s="436"/>
      <c r="AX61" s="436"/>
      <c r="AY61" s="436"/>
      <c r="AZ61" s="436"/>
    </row>
    <row r="62" spans="1:64" s="7" customFormat="1" ht="13.5" thickBot="1">
      <c r="A62" s="1639"/>
      <c r="B62" s="1651"/>
      <c r="C62" s="1410" t="s">
        <v>118</v>
      </c>
      <c r="D62" s="1678"/>
      <c r="E62" s="1678"/>
      <c r="F62" s="1678"/>
      <c r="G62" s="1689"/>
      <c r="H62" s="755">
        <f>SUM(H61)</f>
        <v>11.3</v>
      </c>
      <c r="I62" s="756">
        <f>SUM(I61)</f>
        <v>11.367800000000001</v>
      </c>
      <c r="J62" s="756">
        <f>SUM(J61)</f>
        <v>11.436006800000001</v>
      </c>
      <c r="K62" s="347"/>
      <c r="L62" s="264"/>
      <c r="M62" s="264"/>
      <c r="N62" s="265"/>
      <c r="O62" s="193"/>
    </row>
    <row r="63" spans="1:64" s="7" customFormat="1">
      <c r="A63" s="1639"/>
      <c r="B63" s="1652"/>
      <c r="C63" s="1309" t="s">
        <v>155</v>
      </c>
      <c r="D63" s="1654"/>
      <c r="E63" s="1654"/>
      <c r="F63" s="1629" t="s">
        <v>171</v>
      </c>
      <c r="G63" s="1149" t="s">
        <v>121</v>
      </c>
      <c r="H63" s="1367">
        <v>34</v>
      </c>
      <c r="I63" s="1367">
        <f>H63*1.006</f>
        <v>34.204000000000001</v>
      </c>
      <c r="J63" s="1367">
        <f>I63*1.006</f>
        <v>34.409224000000002</v>
      </c>
      <c r="K63" s="1028" t="s">
        <v>668</v>
      </c>
      <c r="L63" s="457">
        <v>24</v>
      </c>
      <c r="M63" s="457">
        <v>34</v>
      </c>
      <c r="N63" s="458">
        <v>44</v>
      </c>
      <c r="O63" s="193"/>
    </row>
    <row r="64" spans="1:64" s="436" customFormat="1" ht="23.25" thickBot="1">
      <c r="A64" s="1639"/>
      <c r="B64" s="1652"/>
      <c r="C64" s="1311"/>
      <c r="D64" s="1312"/>
      <c r="E64" s="1312"/>
      <c r="F64" s="1183"/>
      <c r="G64" s="1362"/>
      <c r="H64" s="1183"/>
      <c r="I64" s="1354"/>
      <c r="J64" s="1354"/>
      <c r="K64" s="741" t="s">
        <v>669</v>
      </c>
      <c r="L64" s="503">
        <v>10</v>
      </c>
      <c r="M64" s="503">
        <v>10</v>
      </c>
      <c r="N64" s="460">
        <v>10</v>
      </c>
      <c r="O64" s="377"/>
    </row>
    <row r="65" spans="1:15" s="7" customFormat="1" ht="13.5" thickBot="1">
      <c r="A65" s="1639"/>
      <c r="B65" s="1653"/>
      <c r="C65" s="1680" t="s">
        <v>118</v>
      </c>
      <c r="D65" s="1690"/>
      <c r="E65" s="1690"/>
      <c r="F65" s="1690"/>
      <c r="G65" s="1691"/>
      <c r="H65" s="995">
        <f>SUM(H63)</f>
        <v>34</v>
      </c>
      <c r="I65" s="996">
        <f>SUM(I63)</f>
        <v>34.204000000000001</v>
      </c>
      <c r="J65" s="905">
        <f>SUM(J63)</f>
        <v>34.409224000000002</v>
      </c>
      <c r="K65" s="422"/>
      <c r="L65" s="170"/>
      <c r="M65" s="170"/>
      <c r="N65" s="255"/>
      <c r="O65" s="193"/>
    </row>
    <row r="66" spans="1:15" s="7" customFormat="1" ht="13.5" thickBot="1">
      <c r="A66" s="1639"/>
      <c r="B66" s="1617" t="s">
        <v>119</v>
      </c>
      <c r="C66" s="1678"/>
      <c r="D66" s="1678"/>
      <c r="E66" s="1678"/>
      <c r="F66" s="1678"/>
      <c r="G66" s="1678"/>
      <c r="H66" s="755">
        <f>H62+H65</f>
        <v>45.3</v>
      </c>
      <c r="I66" s="756">
        <f>I62+I65</f>
        <v>45.571800000000003</v>
      </c>
      <c r="J66" s="756">
        <f>J62+J65</f>
        <v>45.845230800000003</v>
      </c>
      <c r="K66" s="139"/>
      <c r="L66" s="209"/>
      <c r="M66" s="209"/>
      <c r="N66" s="251"/>
      <c r="O66" s="193"/>
    </row>
    <row r="67" spans="1:15" s="7" customFormat="1">
      <c r="A67" s="1639"/>
      <c r="B67" s="1213" t="s">
        <v>7</v>
      </c>
      <c r="C67" s="1309" t="s">
        <v>8</v>
      </c>
      <c r="D67" s="1348"/>
      <c r="E67" s="1348"/>
      <c r="F67" s="1702" t="s">
        <v>180</v>
      </c>
      <c r="G67" s="832" t="s">
        <v>121</v>
      </c>
      <c r="H67" s="833">
        <f>499.4-498.9</f>
        <v>0.5</v>
      </c>
      <c r="I67" s="603">
        <f>H67*1.006</f>
        <v>0.503</v>
      </c>
      <c r="J67" s="970">
        <f>I67*1.06</f>
        <v>0.53317999999999999</v>
      </c>
      <c r="K67" s="1704" t="s">
        <v>365</v>
      </c>
      <c r="L67" s="1545">
        <v>210</v>
      </c>
      <c r="M67" s="1545">
        <v>215</v>
      </c>
      <c r="N67" s="1546">
        <v>200</v>
      </c>
      <c r="O67" s="193"/>
    </row>
    <row r="68" spans="1:15" s="436" customFormat="1" ht="13.5" thickBot="1">
      <c r="A68" s="1639"/>
      <c r="B68" s="1209"/>
      <c r="C68" s="1504"/>
      <c r="D68" s="1505"/>
      <c r="E68" s="1505"/>
      <c r="F68" s="1703"/>
      <c r="G68" s="498" t="s">
        <v>135</v>
      </c>
      <c r="H68" s="837">
        <v>498.9</v>
      </c>
      <c r="I68" s="605">
        <f>H68*1.06</f>
        <v>528.83399999999995</v>
      </c>
      <c r="J68" s="1050">
        <f>I68*1.06</f>
        <v>560.56403999999998</v>
      </c>
      <c r="K68" s="1705"/>
      <c r="L68" s="1706"/>
      <c r="M68" s="1706"/>
      <c r="N68" s="1717"/>
      <c r="O68" s="377"/>
    </row>
    <row r="69" spans="1:15" s="7" customFormat="1" ht="13.5" thickBot="1">
      <c r="A69" s="1639"/>
      <c r="B69" s="1652"/>
      <c r="C69" s="1398" t="s">
        <v>118</v>
      </c>
      <c r="D69" s="1679"/>
      <c r="E69" s="1679"/>
      <c r="F69" s="1679"/>
      <c r="G69" s="1679"/>
      <c r="H69" s="766">
        <f>SUM(H67:H68)</f>
        <v>499.4</v>
      </c>
      <c r="I69" s="767">
        <f t="shared" ref="I69:J69" si="7">SUM(I67:I68)</f>
        <v>529.33699999999999</v>
      </c>
      <c r="J69" s="818">
        <f t="shared" si="7"/>
        <v>561.09721999999999</v>
      </c>
      <c r="K69" s="984"/>
      <c r="L69" s="264"/>
      <c r="M69" s="264"/>
      <c r="N69" s="265"/>
      <c r="O69" s="193"/>
    </row>
    <row r="70" spans="1:15" s="7" customFormat="1" ht="33.75">
      <c r="A70" s="1639"/>
      <c r="B70" s="1652"/>
      <c r="C70" s="1165" t="s">
        <v>153</v>
      </c>
      <c r="D70" s="1340"/>
      <c r="E70" s="1341"/>
      <c r="F70" s="1629" t="s">
        <v>180</v>
      </c>
      <c r="G70" s="1197" t="s">
        <v>121</v>
      </c>
      <c r="H70" s="1331">
        <v>46</v>
      </c>
      <c r="I70" s="1642">
        <v>46</v>
      </c>
      <c r="J70" s="1642">
        <v>46</v>
      </c>
      <c r="K70" s="575" t="s">
        <v>366</v>
      </c>
      <c r="L70" s="457"/>
      <c r="M70" s="461">
        <v>1</v>
      </c>
      <c r="N70" s="458">
        <v>1</v>
      </c>
      <c r="O70" s="193"/>
    </row>
    <row r="71" spans="1:15" s="192" customFormat="1" ht="23.25" thickBot="1">
      <c r="A71" s="1639"/>
      <c r="B71" s="1652"/>
      <c r="C71" s="1683"/>
      <c r="D71" s="1684"/>
      <c r="E71" s="1685"/>
      <c r="F71" s="1686"/>
      <c r="G71" s="1581"/>
      <c r="H71" s="1672"/>
      <c r="I71" s="1673"/>
      <c r="J71" s="1673"/>
      <c r="K71" s="600" t="s">
        <v>367</v>
      </c>
      <c r="L71" s="503">
        <v>1</v>
      </c>
      <c r="M71" s="478"/>
      <c r="N71" s="460"/>
      <c r="O71" s="193"/>
    </row>
    <row r="72" spans="1:15" s="7" customFormat="1" ht="13.5" thickBot="1">
      <c r="A72" s="1639"/>
      <c r="B72" s="1652"/>
      <c r="C72" s="1680" t="s">
        <v>118</v>
      </c>
      <c r="D72" s="1681"/>
      <c r="E72" s="1681"/>
      <c r="F72" s="1681"/>
      <c r="G72" s="1682"/>
      <c r="H72" s="925">
        <f>SUM(H70)</f>
        <v>46</v>
      </c>
      <c r="I72" s="926">
        <f>SUM(I70)</f>
        <v>46</v>
      </c>
      <c r="J72" s="943">
        <f>SUM(J70)</f>
        <v>46</v>
      </c>
      <c r="K72" s="250"/>
      <c r="L72" s="266"/>
      <c r="M72" s="266"/>
      <c r="N72" s="267"/>
      <c r="O72" s="193"/>
    </row>
    <row r="73" spans="1:15" s="7" customFormat="1" ht="24" customHeight="1" thickBot="1">
      <c r="A73" s="1639"/>
      <c r="B73" s="1652"/>
      <c r="C73" s="1395" t="s">
        <v>419</v>
      </c>
      <c r="D73" s="1676"/>
      <c r="E73" s="1677"/>
      <c r="F73" s="1030" t="s">
        <v>171</v>
      </c>
      <c r="G73" s="862" t="s">
        <v>121</v>
      </c>
      <c r="H73" s="1110">
        <v>10</v>
      </c>
      <c r="I73" s="590">
        <f>H73*1.006</f>
        <v>10.06</v>
      </c>
      <c r="J73" s="590">
        <f>I73*1.006</f>
        <v>10.12036</v>
      </c>
      <c r="K73" s="813" t="s">
        <v>420</v>
      </c>
      <c r="L73" s="472">
        <v>1</v>
      </c>
      <c r="M73" s="472">
        <v>1</v>
      </c>
      <c r="N73" s="997">
        <v>1</v>
      </c>
      <c r="O73" s="193"/>
    </row>
    <row r="74" spans="1:15" s="7" customFormat="1" ht="13.5" thickBot="1">
      <c r="A74" s="1639"/>
      <c r="B74" s="1687"/>
      <c r="C74" s="1402" t="s">
        <v>118</v>
      </c>
      <c r="D74" s="1674"/>
      <c r="E74" s="1674"/>
      <c r="F74" s="1674"/>
      <c r="G74" s="1675"/>
      <c r="H74" s="766">
        <f>SUM(H73)</f>
        <v>10</v>
      </c>
      <c r="I74" s="684">
        <f>SUM(I73)</f>
        <v>10.06</v>
      </c>
      <c r="J74" s="1039">
        <f>SUM(J73)</f>
        <v>10.12036</v>
      </c>
      <c r="K74" s="139"/>
      <c r="L74" s="209"/>
      <c r="M74" s="209"/>
      <c r="N74" s="251"/>
      <c r="O74" s="193"/>
    </row>
    <row r="75" spans="1:15" s="7" customFormat="1" ht="13.5" thickBot="1">
      <c r="A75" s="1688"/>
      <c r="B75" s="1617" t="s">
        <v>119</v>
      </c>
      <c r="C75" s="1627"/>
      <c r="D75" s="1627"/>
      <c r="E75" s="1627"/>
      <c r="F75" s="1627"/>
      <c r="G75" s="1628"/>
      <c r="H75" s="766">
        <f>H74+H72+H69</f>
        <v>555.4</v>
      </c>
      <c r="I75" s="767">
        <f>I74+I72+I69</f>
        <v>585.39699999999993</v>
      </c>
      <c r="J75" s="767">
        <f>J74+J72+J69</f>
        <v>617.21758</v>
      </c>
      <c r="K75" s="139"/>
      <c r="L75" s="209"/>
      <c r="M75" s="209"/>
      <c r="N75" s="251"/>
      <c r="O75" s="193"/>
    </row>
    <row r="76" spans="1:15" s="7" customFormat="1" ht="13.5" thickBot="1">
      <c r="A76" s="1394" t="s">
        <v>16</v>
      </c>
      <c r="B76" s="1609"/>
      <c r="C76" s="1609"/>
      <c r="D76" s="1609"/>
      <c r="E76" s="1609"/>
      <c r="F76" s="1609"/>
      <c r="G76" s="1609"/>
      <c r="H76" s="766">
        <f>H66+H75</f>
        <v>600.69999999999993</v>
      </c>
      <c r="I76" s="767">
        <f>I66+I75</f>
        <v>630.96879999999999</v>
      </c>
      <c r="J76" s="767">
        <f>J66+J75</f>
        <v>663.06281079999997</v>
      </c>
      <c r="K76" s="139"/>
      <c r="L76" s="209"/>
      <c r="M76" s="209"/>
      <c r="N76" s="251"/>
      <c r="O76" s="193"/>
    </row>
    <row r="77" spans="1:15" s="10" customFormat="1" ht="13.5" thickBot="1">
      <c r="A77" s="88"/>
      <c r="B77" s="1671" t="s">
        <v>17</v>
      </c>
      <c r="C77" s="1609"/>
      <c r="D77" s="1609"/>
      <c r="E77" s="1609"/>
      <c r="F77" s="1609"/>
      <c r="G77" s="1610"/>
      <c r="H77" s="959">
        <f>H54+H60+H76</f>
        <v>2745.2999999999997</v>
      </c>
      <c r="I77" s="960">
        <f>I54+I60+I76</f>
        <v>1353.2367999999999</v>
      </c>
      <c r="J77" s="960">
        <f>J54+J60+J76</f>
        <v>1385.8016188000001</v>
      </c>
      <c r="K77" s="79"/>
      <c r="L77" s="268"/>
      <c r="M77" s="268"/>
      <c r="N77" s="269"/>
      <c r="O77" s="358"/>
    </row>
    <row r="78" spans="1:15" s="10" customFormat="1" ht="10.5" customHeight="1">
      <c r="A78" s="86"/>
      <c r="B78" s="104"/>
      <c r="C78" s="104"/>
      <c r="D78" s="1130"/>
      <c r="E78" s="32"/>
      <c r="F78" s="32" t="s">
        <v>11</v>
      </c>
      <c r="G78" s="354"/>
      <c r="H78" s="32"/>
      <c r="I78" s="56"/>
      <c r="J78" s="56"/>
      <c r="K78" s="56"/>
      <c r="L78" s="270"/>
      <c r="M78" s="270"/>
      <c r="N78" s="270"/>
    </row>
    <row r="79" spans="1:15" s="7" customFormat="1" ht="10.5" customHeight="1">
      <c r="A79" s="36"/>
      <c r="B79" s="29"/>
      <c r="C79" s="87"/>
      <c r="D79" s="40"/>
      <c r="E79" s="41"/>
      <c r="F79" s="41"/>
      <c r="G79" s="355" t="s">
        <v>424</v>
      </c>
      <c r="H79" s="450">
        <f>SUMIF($G$8:$G$76,"SB",H$8:H$76)</f>
        <v>146.6</v>
      </c>
      <c r="I79" s="450">
        <f>SUMIF($G$8:$G$76,"SB",I$8:I$76)</f>
        <v>119.2368</v>
      </c>
      <c r="J79" s="450">
        <f>SUMIF($G$8:$G$76,"SB",J$8:J$76)</f>
        <v>362.70338279999999</v>
      </c>
      <c r="K79" s="318"/>
      <c r="L79" s="271"/>
      <c r="M79" s="271"/>
      <c r="N79" s="271"/>
    </row>
    <row r="80" spans="1:15" s="7" customFormat="1" ht="10.5" customHeight="1">
      <c r="A80" s="36"/>
      <c r="B80" s="127"/>
      <c r="C80" s="55"/>
      <c r="D80" s="40"/>
      <c r="E80" s="41"/>
      <c r="F80" s="41"/>
      <c r="G80" s="355" t="s">
        <v>425</v>
      </c>
      <c r="H80" s="450">
        <f>SUMIF($G$8:$G$76,"VB-STD",H$8:H$76)</f>
        <v>498.9</v>
      </c>
      <c r="I80" s="450">
        <f>SUMIF($G$8:$G$76,"VB-STD",I$8:I$76)</f>
        <v>528.83399999999995</v>
      </c>
      <c r="J80" s="450">
        <f>SUMIF($G$8:$G$76,"VB-STD",J$8:J$76)</f>
        <v>560.56403999999998</v>
      </c>
      <c r="K80" s="195"/>
      <c r="L80" s="252"/>
      <c r="M80" s="252"/>
      <c r="N80" s="252"/>
    </row>
    <row r="81" spans="1:14" s="7" customFormat="1" ht="10.5" customHeight="1">
      <c r="A81" s="36"/>
      <c r="B81" s="127"/>
      <c r="C81" s="55"/>
      <c r="D81" s="18"/>
      <c r="E81" s="19"/>
      <c r="F81" s="19"/>
      <c r="G81" s="355" t="s">
        <v>426</v>
      </c>
      <c r="H81" s="450">
        <f>SUMIF($G$8:$G$76,"ES",H$8:H$76)</f>
        <v>1638</v>
      </c>
      <c r="I81" s="450">
        <f>SUMIF($G$8:$G$76,"ES",I$8:I$76)</f>
        <v>243</v>
      </c>
      <c r="J81" s="450">
        <f>SUMIF($G$8:$G$76,"ES",J$8:J$76)</f>
        <v>0</v>
      </c>
      <c r="K81" s="195"/>
      <c r="L81" s="252"/>
      <c r="M81" s="252"/>
      <c r="N81" s="252"/>
    </row>
    <row r="82" spans="1:14" s="7" customFormat="1" ht="10.5" customHeight="1">
      <c r="A82" s="36"/>
      <c r="B82" s="127"/>
      <c r="C82" s="55"/>
      <c r="D82" s="18"/>
      <c r="E82" s="19"/>
      <c r="F82" s="19"/>
      <c r="G82" s="355" t="s">
        <v>427</v>
      </c>
      <c r="H82" s="450">
        <f>SUMIF($G$8:$G$76,"SAARS",H$8:H$76)</f>
        <v>460.8</v>
      </c>
      <c r="I82" s="450">
        <f>SUMIF($G$8:$G$76,"SAARS",I$8:I$76)</f>
        <v>461.15999999999997</v>
      </c>
      <c r="J82" s="450">
        <f>SUMIF($G$8:$G$76,"SAARS",J$8:J$76)</f>
        <v>461.52216000000004</v>
      </c>
      <c r="K82" s="195"/>
      <c r="L82" s="252"/>
      <c r="M82" s="252"/>
      <c r="N82" s="252"/>
    </row>
    <row r="83" spans="1:14" s="7" customFormat="1" ht="10.5" customHeight="1">
      <c r="A83" s="36"/>
      <c r="B83" s="127"/>
      <c r="C83" s="55"/>
      <c r="D83" s="18"/>
      <c r="E83" s="19"/>
      <c r="F83" s="19"/>
      <c r="G83" s="355" t="s">
        <v>428</v>
      </c>
      <c r="H83" s="450">
        <f>SUMIF($G$8:$G$76,"KPPP",H$8:H$76)</f>
        <v>0</v>
      </c>
      <c r="I83" s="450">
        <f>SUMIF($G$8:$G$76,"KPPP",I$8:I$76)</f>
        <v>0</v>
      </c>
      <c r="J83" s="450">
        <f>SUMIF($G$8:$G$76,"KPPP",J$8:J$76)</f>
        <v>0</v>
      </c>
      <c r="K83" s="195"/>
      <c r="L83" s="252"/>
      <c r="M83" s="252"/>
      <c r="N83" s="252"/>
    </row>
    <row r="84" spans="1:14" s="7" customFormat="1" ht="10.5" customHeight="1">
      <c r="A84" s="36"/>
      <c r="B84" s="127"/>
      <c r="C84" s="55"/>
      <c r="D84" s="18"/>
      <c r="E84" s="19"/>
      <c r="F84" s="19"/>
      <c r="G84" s="356" t="s">
        <v>429</v>
      </c>
      <c r="H84" s="450">
        <f>SUMIF($G$8:$G$76,"UF",H$8:H$76)</f>
        <v>0</v>
      </c>
      <c r="I84" s="450">
        <f>SUMIF($G$8:$G$76,"UF",I$8:I$76)</f>
        <v>0</v>
      </c>
      <c r="J84" s="450">
        <f>SUMIF($G$8:$G$76,"UF",J$8:J$76)</f>
        <v>0</v>
      </c>
      <c r="K84" s="195"/>
      <c r="L84" s="252"/>
      <c r="M84" s="252"/>
      <c r="N84" s="252"/>
    </row>
    <row r="85" spans="1:14" s="7" customFormat="1" ht="10.5" customHeight="1">
      <c r="A85" s="36"/>
      <c r="B85" s="127"/>
      <c r="C85" s="55"/>
      <c r="D85" s="18"/>
      <c r="E85" s="19"/>
      <c r="F85" s="19"/>
      <c r="G85" s="355" t="s">
        <v>430</v>
      </c>
      <c r="H85" s="450">
        <f>SUMIF($G$8:$G$76,"VB",H$8:H$76)</f>
        <v>1</v>
      </c>
      <c r="I85" s="450">
        <f>SUMIF($G$8:$G$76,"VB",I$8:I$76)</f>
        <v>1.006</v>
      </c>
      <c r="J85" s="450">
        <f>SUMIF($G$8:$G$76,"VB",J$8:J$76)</f>
        <v>1.0120359999999999</v>
      </c>
      <c r="K85" s="195"/>
      <c r="L85" s="252"/>
      <c r="M85" s="252"/>
      <c r="N85" s="252"/>
    </row>
    <row r="86" spans="1:14" s="7" customFormat="1" ht="10.5" customHeight="1">
      <c r="A86" s="36"/>
      <c r="B86" s="127"/>
      <c r="C86" s="55"/>
      <c r="D86" s="18"/>
      <c r="E86" s="19"/>
      <c r="F86" s="19"/>
      <c r="G86" s="355" t="s">
        <v>431</v>
      </c>
      <c r="H86" s="450">
        <f>SUMIF($G$8:$G$76,"SL",H$8:H$76)</f>
        <v>0</v>
      </c>
      <c r="I86" s="450">
        <f>SUMIF($G$8:$G$76,"SL",I$8:I$76)</f>
        <v>0</v>
      </c>
      <c r="J86" s="450">
        <f>SUMIF($G$8:$G$76,"SL",J$8:J$76)</f>
        <v>0</v>
      </c>
      <c r="K86" s="195"/>
      <c r="L86" s="252"/>
      <c r="M86" s="252"/>
      <c r="N86" s="252"/>
    </row>
    <row r="87" spans="1:14" s="7" customFormat="1" ht="10.5" customHeight="1">
      <c r="A87" s="77"/>
      <c r="B87" s="30"/>
      <c r="C87" s="76"/>
      <c r="D87" s="18"/>
      <c r="E87" s="19"/>
      <c r="F87" s="19"/>
      <c r="G87" s="355" t="s">
        <v>432</v>
      </c>
      <c r="H87" s="450">
        <f>SUMIF($G$8:$G$76,"PL",H$8:H$76)</f>
        <v>0</v>
      </c>
      <c r="I87" s="450">
        <f>SUMIF($G$8:$G$76,"PL",I$8:I$76)</f>
        <v>0</v>
      </c>
      <c r="J87" s="450">
        <f>SUMIF($G$8:$G$76,"PL",J$8:J$76)</f>
        <v>0</v>
      </c>
      <c r="K87" s="195"/>
      <c r="L87" s="252"/>
      <c r="M87" s="252"/>
      <c r="N87" s="252"/>
    </row>
    <row r="88" spans="1:14" s="7" customFormat="1" ht="10.5" customHeight="1">
      <c r="A88" s="77"/>
      <c r="B88" s="30"/>
      <c r="C88" s="76"/>
      <c r="D88" s="40"/>
      <c r="E88" s="41"/>
      <c r="F88" s="41"/>
      <c r="G88" s="355" t="s">
        <v>433</v>
      </c>
      <c r="H88" s="450">
        <f>SUMIF($G$8:$G$76,"KL",H$8:H$76)</f>
        <v>0</v>
      </c>
      <c r="I88" s="450">
        <f>SUMIF($G$8:$G$76,"KL",I$8:I$76)</f>
        <v>0</v>
      </c>
      <c r="J88" s="450">
        <f>SUMIF($G$8:$G$76,"KL",J$8:J$76)</f>
        <v>0</v>
      </c>
      <c r="K88" s="318"/>
      <c r="L88" s="271"/>
      <c r="M88" s="271"/>
      <c r="N88" s="271"/>
    </row>
    <row r="89" spans="1:14" s="7" customFormat="1" ht="10.5" customHeight="1">
      <c r="A89" s="36"/>
      <c r="B89" s="1132"/>
      <c r="C89" s="1133"/>
      <c r="D89" s="40"/>
      <c r="E89" s="41"/>
      <c r="F89" s="41"/>
      <c r="G89" s="355" t="s">
        <v>434</v>
      </c>
      <c r="H89" s="450">
        <f>SUMIF($G$8:$G$76,"TPP",H$8:H$76)</f>
        <v>0</v>
      </c>
      <c r="I89" s="450">
        <f>SUMIF($G$8:$G$76,"TPP",I$8:I$76)</f>
        <v>0</v>
      </c>
      <c r="J89" s="450">
        <f>SUMIF($G$8:$G$76,"TPP",J$8:J$76)</f>
        <v>0</v>
      </c>
      <c r="K89" s="195"/>
      <c r="L89" s="252"/>
      <c r="M89" s="252"/>
      <c r="N89" s="252"/>
    </row>
    <row r="90" spans="1:14" s="11" customFormat="1" ht="10.5" customHeight="1">
      <c r="A90" s="116"/>
      <c r="B90" s="13"/>
      <c r="C90" s="13"/>
      <c r="D90" s="13"/>
      <c r="E90" s="13"/>
      <c r="F90" s="13"/>
      <c r="G90" s="357" t="s">
        <v>17</v>
      </c>
      <c r="H90" s="1134">
        <f>SUM(H79:H89)</f>
        <v>2745.3</v>
      </c>
      <c r="I90" s="1134">
        <f>SUM(I79:I89)</f>
        <v>1353.2367999999999</v>
      </c>
      <c r="J90" s="1134">
        <f>SUM(J79:J89)</f>
        <v>1385.8016188000001</v>
      </c>
      <c r="K90" s="117"/>
      <c r="L90" s="272"/>
      <c r="M90" s="1138"/>
      <c r="N90" s="1138"/>
    </row>
    <row r="91" spans="1:14">
      <c r="M91" s="34"/>
      <c r="N91" s="34"/>
    </row>
  </sheetData>
  <mergeCells count="137">
    <mergeCell ref="M67:M68"/>
    <mergeCell ref="N67:N68"/>
    <mergeCell ref="B8:B39"/>
    <mergeCell ref="F47:F48"/>
    <mergeCell ref="G47:G48"/>
    <mergeCell ref="C47:E48"/>
    <mergeCell ref="H47:H48"/>
    <mergeCell ref="I47:I48"/>
    <mergeCell ref="J47:J48"/>
    <mergeCell ref="J8:J11"/>
    <mergeCell ref="H34:H35"/>
    <mergeCell ref="I34:I35"/>
    <mergeCell ref="J34:J35"/>
    <mergeCell ref="C45:G45"/>
    <mergeCell ref="F41:F44"/>
    <mergeCell ref="G41:G44"/>
    <mergeCell ref="C40:G40"/>
    <mergeCell ref="F32:F35"/>
    <mergeCell ref="C41:E44"/>
    <mergeCell ref="C20:G20"/>
    <mergeCell ref="C13:E19"/>
    <mergeCell ref="J21:J25"/>
    <mergeCell ref="H32:H33"/>
    <mergeCell ref="I32:I33"/>
    <mergeCell ref="A3:J3"/>
    <mergeCell ref="K3:L3"/>
    <mergeCell ref="C67:E68"/>
    <mergeCell ref="F67:F68"/>
    <mergeCell ref="K67:K68"/>
    <mergeCell ref="L67:L68"/>
    <mergeCell ref="A5:A7"/>
    <mergeCell ref="B5:B7"/>
    <mergeCell ref="C5:C7"/>
    <mergeCell ref="D5:D7"/>
    <mergeCell ref="E5:E7"/>
    <mergeCell ref="I5:I7"/>
    <mergeCell ref="J5:J7"/>
    <mergeCell ref="C30:E30"/>
    <mergeCell ref="C32:E35"/>
    <mergeCell ref="H13:H19"/>
    <mergeCell ref="I13:I19"/>
    <mergeCell ref="J13:J19"/>
    <mergeCell ref="C21:E25"/>
    <mergeCell ref="F21:F25"/>
    <mergeCell ref="K5:N5"/>
    <mergeCell ref="K6:K7"/>
    <mergeCell ref="L6:N6"/>
    <mergeCell ref="H5:H7"/>
    <mergeCell ref="F5:F7"/>
    <mergeCell ref="G5:G7"/>
    <mergeCell ref="C8:E11"/>
    <mergeCell ref="F8:F11"/>
    <mergeCell ref="G8:G11"/>
    <mergeCell ref="H8:H11"/>
    <mergeCell ref="I8:I11"/>
    <mergeCell ref="G21:G25"/>
    <mergeCell ref="H21:H25"/>
    <mergeCell ref="I21:I25"/>
    <mergeCell ref="G27:G28"/>
    <mergeCell ref="H27:H28"/>
    <mergeCell ref="B77:G77"/>
    <mergeCell ref="H70:H71"/>
    <mergeCell ref="I70:I71"/>
    <mergeCell ref="J70:J71"/>
    <mergeCell ref="C74:G74"/>
    <mergeCell ref="C73:E73"/>
    <mergeCell ref="B66:G66"/>
    <mergeCell ref="C69:G69"/>
    <mergeCell ref="C72:G72"/>
    <mergeCell ref="C70:E71"/>
    <mergeCell ref="F70:F71"/>
    <mergeCell ref="G70:G71"/>
    <mergeCell ref="A76:G76"/>
    <mergeCell ref="B75:G75"/>
    <mergeCell ref="B67:B74"/>
    <mergeCell ref="A61:A75"/>
    <mergeCell ref="C62:G62"/>
    <mergeCell ref="C65:G65"/>
    <mergeCell ref="H63:H64"/>
    <mergeCell ref="I63:I64"/>
    <mergeCell ref="J63:J64"/>
    <mergeCell ref="B61:B65"/>
    <mergeCell ref="G63:G64"/>
    <mergeCell ref="C63:E64"/>
    <mergeCell ref="F63:F64"/>
    <mergeCell ref="K21:K23"/>
    <mergeCell ref="L21:L23"/>
    <mergeCell ref="M21:M23"/>
    <mergeCell ref="N21:N23"/>
    <mergeCell ref="K24:K25"/>
    <mergeCell ref="L24:L25"/>
    <mergeCell ref="M24:M25"/>
    <mergeCell ref="N24:N25"/>
    <mergeCell ref="H41:H44"/>
    <mergeCell ref="I41:I44"/>
    <mergeCell ref="J32:J33"/>
    <mergeCell ref="I27:I28"/>
    <mergeCell ref="J27:J28"/>
    <mergeCell ref="C58:G58"/>
    <mergeCell ref="C57:E57"/>
    <mergeCell ref="C55:E55"/>
    <mergeCell ref="K32:K33"/>
    <mergeCell ref="L32:L33"/>
    <mergeCell ref="M32:M33"/>
    <mergeCell ref="N32:N33"/>
    <mergeCell ref="B50:G50"/>
    <mergeCell ref="B55:B58"/>
    <mergeCell ref="B51:B52"/>
    <mergeCell ref="J41:J44"/>
    <mergeCell ref="B41:B45"/>
    <mergeCell ref="G34:G35"/>
    <mergeCell ref="A60:G60"/>
    <mergeCell ref="A55:A59"/>
    <mergeCell ref="C61:E61"/>
    <mergeCell ref="B53:G53"/>
    <mergeCell ref="C31:G31"/>
    <mergeCell ref="G32:G33"/>
    <mergeCell ref="A54:G54"/>
    <mergeCell ref="A8:A53"/>
    <mergeCell ref="B47:B49"/>
    <mergeCell ref="C29:G29"/>
    <mergeCell ref="C26:G26"/>
    <mergeCell ref="B46:G46"/>
    <mergeCell ref="C49:G49"/>
    <mergeCell ref="C51:E51"/>
    <mergeCell ref="C52:G52"/>
    <mergeCell ref="B59:G59"/>
    <mergeCell ref="C56:G56"/>
    <mergeCell ref="C12:G12"/>
    <mergeCell ref="F13:F19"/>
    <mergeCell ref="G13:G19"/>
    <mergeCell ref="C36:G36"/>
    <mergeCell ref="C37:E38"/>
    <mergeCell ref="F37:F38"/>
    <mergeCell ref="C39:G39"/>
    <mergeCell ref="C27:E28"/>
    <mergeCell ref="F27:F28"/>
  </mergeCells>
  <phoneticPr fontId="6" type="noConversion"/>
  <pageMargins left="0.39370078740157483" right="0.39370078740157483" top="0.59055118110236227" bottom="0.28000000000000003" header="0" footer="0"/>
  <pageSetup paperSize="9" orientation="landscape" r:id="rId1"/>
  <headerFooter alignWithMargins="0">
    <oddHeader>&amp;C6.1.-&amp;P</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96"/>
  <sheetViews>
    <sheetView tabSelected="1" topLeftCell="A256" zoomScaleNormal="100" zoomScaleSheetLayoutView="100" workbookViewId="0">
      <selection activeCell="G266" sqref="G266"/>
    </sheetView>
  </sheetViews>
  <sheetFormatPr defaultColWidth="7.85546875" defaultRowHeight="12.75"/>
  <cols>
    <col min="1" max="1" width="6.7109375" style="39" customWidth="1"/>
    <col min="2" max="2" width="8.85546875" style="2" customWidth="1"/>
    <col min="3" max="5" width="8.7109375" style="2" customWidth="1"/>
    <col min="6" max="6" width="13.85546875" style="2" customWidth="1"/>
    <col min="7" max="7" width="8.7109375" style="8" customWidth="1"/>
    <col min="8" max="8" width="8.7109375" style="2" customWidth="1"/>
    <col min="9" max="10" width="8.7109375" style="3" customWidth="1"/>
    <col min="11" max="11" width="32.140625" style="3" customWidth="1"/>
    <col min="12" max="13" width="7.28515625" style="2" customWidth="1"/>
    <col min="14" max="14" width="8.28515625" style="2" customWidth="1"/>
    <col min="15" max="16384" width="7.85546875" style="3"/>
  </cols>
  <sheetData>
    <row r="1" spans="1:14" ht="15.75">
      <c r="A1" s="73" t="s">
        <v>463</v>
      </c>
      <c r="B1" s="70"/>
      <c r="C1" s="70"/>
      <c r="D1" s="70"/>
      <c r="E1" s="70"/>
      <c r="F1" s="70"/>
      <c r="G1" s="70"/>
      <c r="H1" s="70"/>
      <c r="I1" s="70"/>
      <c r="J1" s="70"/>
      <c r="K1" s="3" t="s">
        <v>464</v>
      </c>
    </row>
    <row r="2" spans="1:14" ht="30.75" customHeight="1">
      <c r="A2" s="1735" t="s">
        <v>160</v>
      </c>
      <c r="B2" s="1735"/>
      <c r="C2" s="1735"/>
      <c r="D2" s="1735"/>
      <c r="E2" s="1735"/>
      <c r="F2" s="1735"/>
      <c r="G2" s="1735"/>
      <c r="H2" s="1735"/>
      <c r="I2" s="1735"/>
      <c r="J2" s="1735"/>
      <c r="K2" s="3" t="s">
        <v>107</v>
      </c>
    </row>
    <row r="3" spans="1:14" ht="33.75" customHeight="1">
      <c r="A3" s="1532" t="s">
        <v>117</v>
      </c>
      <c r="B3" s="1532"/>
      <c r="C3" s="1532"/>
      <c r="D3" s="1532"/>
      <c r="E3" s="1532"/>
      <c r="F3" s="1532"/>
      <c r="G3" s="1532"/>
      <c r="H3" s="1532"/>
      <c r="I3" s="1532"/>
      <c r="J3" s="1532"/>
      <c r="K3" s="1734" t="s">
        <v>834</v>
      </c>
      <c r="L3" s="1734"/>
    </row>
    <row r="4" spans="1:14" ht="15.75">
      <c r="A4" s="4"/>
      <c r="B4" s="4"/>
      <c r="C4" s="4"/>
      <c r="D4" s="4"/>
      <c r="E4" s="4"/>
      <c r="F4" s="4"/>
      <c r="G4" s="9"/>
      <c r="H4" s="4"/>
      <c r="I4" s="4"/>
      <c r="J4" s="4"/>
      <c r="K4" s="3" t="s">
        <v>835</v>
      </c>
    </row>
    <row r="5" spans="1:14" ht="3" customHeight="1" thickBot="1">
      <c r="A5" s="34"/>
      <c r="B5" s="34"/>
      <c r="C5" s="34"/>
      <c r="D5" s="34"/>
      <c r="E5" s="34"/>
      <c r="F5" s="34"/>
      <c r="G5" s="35"/>
      <c r="H5" s="34"/>
      <c r="I5" s="1"/>
      <c r="J5" s="1"/>
      <c r="L5" s="34"/>
      <c r="M5" s="34"/>
      <c r="N5" s="34"/>
    </row>
    <row r="6" spans="1:14" ht="13.5" customHeight="1">
      <c r="A6" s="1274" t="s">
        <v>110</v>
      </c>
      <c r="B6" s="1251" t="s">
        <v>111</v>
      </c>
      <c r="C6" s="1251" t="s">
        <v>112</v>
      </c>
      <c r="D6" s="1251" t="s">
        <v>47</v>
      </c>
      <c r="E6" s="1280" t="s">
        <v>113</v>
      </c>
      <c r="F6" s="1251" t="s">
        <v>14</v>
      </c>
      <c r="G6" s="1257" t="s">
        <v>114</v>
      </c>
      <c r="H6" s="1251" t="s">
        <v>814</v>
      </c>
      <c r="I6" s="1254" t="s">
        <v>815</v>
      </c>
      <c r="J6" s="1248" t="s">
        <v>816</v>
      </c>
      <c r="K6" s="1240" t="s">
        <v>115</v>
      </c>
      <c r="L6" s="1241"/>
      <c r="M6" s="1241"/>
      <c r="N6" s="1242"/>
    </row>
    <row r="7" spans="1:14" s="7" customFormat="1" ht="10.5" customHeight="1">
      <c r="A7" s="1275"/>
      <c r="B7" s="1252"/>
      <c r="C7" s="1252"/>
      <c r="D7" s="1252"/>
      <c r="E7" s="1281"/>
      <c r="F7" s="1252"/>
      <c r="G7" s="1258"/>
      <c r="H7" s="1252"/>
      <c r="I7" s="1255"/>
      <c r="J7" s="1249"/>
      <c r="K7" s="1243" t="s">
        <v>47</v>
      </c>
      <c r="L7" s="1520" t="s">
        <v>116</v>
      </c>
      <c r="M7" s="1521"/>
      <c r="N7" s="1522"/>
    </row>
    <row r="8" spans="1:14" s="7" customFormat="1" ht="93.75" customHeight="1" thickBot="1">
      <c r="A8" s="1276"/>
      <c r="B8" s="1253"/>
      <c r="C8" s="1253"/>
      <c r="D8" s="1253"/>
      <c r="E8" s="1282"/>
      <c r="F8" s="1253"/>
      <c r="G8" s="1259"/>
      <c r="H8" s="1253"/>
      <c r="I8" s="1256"/>
      <c r="J8" s="1250"/>
      <c r="K8" s="1244"/>
      <c r="L8" s="197" t="s">
        <v>138</v>
      </c>
      <c r="M8" s="197" t="s">
        <v>256</v>
      </c>
      <c r="N8" s="198" t="s">
        <v>452</v>
      </c>
    </row>
    <row r="9" spans="1:14" s="10" customFormat="1">
      <c r="A9" s="1171" t="s">
        <v>9</v>
      </c>
      <c r="B9" s="1171" t="s">
        <v>10</v>
      </c>
      <c r="C9" s="1165" t="s">
        <v>687</v>
      </c>
      <c r="D9" s="1837"/>
      <c r="E9" s="1838"/>
      <c r="F9" s="133" t="s">
        <v>171</v>
      </c>
      <c r="G9" s="730" t="s">
        <v>121</v>
      </c>
      <c r="H9" s="1111">
        <v>273.2</v>
      </c>
      <c r="I9" s="603">
        <f t="shared" ref="I9:J12" si="0">H9*1.006</f>
        <v>274.83920000000001</v>
      </c>
      <c r="J9" s="603">
        <f t="shared" si="0"/>
        <v>276.48823520000002</v>
      </c>
      <c r="K9" s="1380" t="s">
        <v>415</v>
      </c>
      <c r="L9" s="1794">
        <v>296.32</v>
      </c>
      <c r="M9" s="1794">
        <v>297.32</v>
      </c>
      <c r="N9" s="1795">
        <v>298.32</v>
      </c>
    </row>
    <row r="10" spans="1:14" s="7" customFormat="1" ht="10.5" customHeight="1">
      <c r="A10" s="1172"/>
      <c r="B10" s="1172"/>
      <c r="C10" s="1839"/>
      <c r="D10" s="1840"/>
      <c r="E10" s="1841"/>
      <c r="F10" s="98" t="s">
        <v>182</v>
      </c>
      <c r="G10" s="732" t="s">
        <v>121</v>
      </c>
      <c r="H10" s="791">
        <v>28.2</v>
      </c>
      <c r="I10" s="609">
        <f t="shared" si="0"/>
        <v>28.369199999999999</v>
      </c>
      <c r="J10" s="609">
        <f t="shared" si="0"/>
        <v>28.539415200000001</v>
      </c>
      <c r="K10" s="1229"/>
      <c r="L10" s="1463"/>
      <c r="M10" s="1463"/>
      <c r="N10" s="1796"/>
    </row>
    <row r="11" spans="1:14" s="7" customFormat="1" ht="10.5" customHeight="1">
      <c r="A11" s="1172"/>
      <c r="B11" s="1172"/>
      <c r="C11" s="1839"/>
      <c r="D11" s="1840"/>
      <c r="E11" s="1841"/>
      <c r="F11" s="346" t="s">
        <v>258</v>
      </c>
      <c r="G11" s="732" t="s">
        <v>121</v>
      </c>
      <c r="H11" s="843">
        <v>46.2</v>
      </c>
      <c r="I11" s="609">
        <f t="shared" si="0"/>
        <v>46.477200000000003</v>
      </c>
      <c r="J11" s="609">
        <f t="shared" si="0"/>
        <v>46.756063200000007</v>
      </c>
      <c r="K11" s="1386"/>
      <c r="L11" s="1519"/>
      <c r="M11" s="1519"/>
      <c r="N11" s="1797"/>
    </row>
    <row r="12" spans="1:14" s="7" customFormat="1">
      <c r="A12" s="1172"/>
      <c r="B12" s="1172"/>
      <c r="C12" s="1839"/>
      <c r="D12" s="1840"/>
      <c r="E12" s="1841"/>
      <c r="F12" s="346" t="s">
        <v>181</v>
      </c>
      <c r="G12" s="732" t="s">
        <v>121</v>
      </c>
      <c r="H12" s="843">
        <v>1595</v>
      </c>
      <c r="I12" s="609">
        <f t="shared" si="0"/>
        <v>1604.57</v>
      </c>
      <c r="J12" s="609">
        <f t="shared" si="0"/>
        <v>1614.19742</v>
      </c>
      <c r="K12" s="534" t="s">
        <v>370</v>
      </c>
      <c r="L12" s="490">
        <v>50</v>
      </c>
      <c r="M12" s="490">
        <v>50</v>
      </c>
      <c r="N12" s="491">
        <v>50</v>
      </c>
    </row>
    <row r="13" spans="1:14" s="7" customFormat="1" ht="13.5" customHeight="1">
      <c r="A13" s="1172"/>
      <c r="B13" s="1172"/>
      <c r="C13" s="1839"/>
      <c r="D13" s="1840"/>
      <c r="E13" s="1841"/>
      <c r="F13" s="346" t="s">
        <v>184</v>
      </c>
      <c r="G13" s="732" t="s">
        <v>121</v>
      </c>
      <c r="H13" s="791">
        <v>38.1</v>
      </c>
      <c r="I13" s="609">
        <f t="shared" ref="I13:J13" si="1">H13*1.006</f>
        <v>38.328600000000002</v>
      </c>
      <c r="J13" s="609">
        <f t="shared" si="1"/>
        <v>38.558571600000001</v>
      </c>
      <c r="K13" s="1722" t="s">
        <v>43</v>
      </c>
      <c r="L13" s="1746">
        <v>4323</v>
      </c>
      <c r="M13" s="1746">
        <v>4360</v>
      </c>
      <c r="N13" s="1798">
        <v>4400</v>
      </c>
    </row>
    <row r="14" spans="1:14" s="7" customFormat="1" ht="12" customHeight="1">
      <c r="A14" s="1172"/>
      <c r="B14" s="1172"/>
      <c r="C14" s="1839"/>
      <c r="D14" s="1840"/>
      <c r="E14" s="1841"/>
      <c r="F14" s="346" t="s">
        <v>185</v>
      </c>
      <c r="G14" s="732" t="s">
        <v>121</v>
      </c>
      <c r="H14" s="791">
        <v>44.5</v>
      </c>
      <c r="I14" s="609">
        <f t="shared" ref="I14:J14" si="2">H14*1.006</f>
        <v>44.767000000000003</v>
      </c>
      <c r="J14" s="609">
        <f t="shared" si="2"/>
        <v>45.035602000000004</v>
      </c>
      <c r="K14" s="1386"/>
      <c r="L14" s="1519"/>
      <c r="M14" s="1519"/>
      <c r="N14" s="1797"/>
    </row>
    <row r="15" spans="1:14" s="7" customFormat="1" ht="10.5" customHeight="1">
      <c r="A15" s="1172"/>
      <c r="B15" s="1172"/>
      <c r="C15" s="1839"/>
      <c r="D15" s="1840"/>
      <c r="E15" s="1841"/>
      <c r="F15" s="346" t="s">
        <v>188</v>
      </c>
      <c r="G15" s="732" t="s">
        <v>121</v>
      </c>
      <c r="H15" s="843">
        <v>45</v>
      </c>
      <c r="I15" s="609">
        <f t="shared" ref="I15:J15" si="3">H15*1.006</f>
        <v>45.27</v>
      </c>
      <c r="J15" s="609">
        <f t="shared" si="3"/>
        <v>45.541620000000002</v>
      </c>
      <c r="K15" s="1722" t="s">
        <v>238</v>
      </c>
      <c r="L15" s="1799">
        <f>630001/10000+62</f>
        <v>125.0001</v>
      </c>
      <c r="M15" s="1799">
        <f>630001/10000+62</f>
        <v>125.0001</v>
      </c>
      <c r="N15" s="1800">
        <f>630001/10000+62</f>
        <v>125.0001</v>
      </c>
    </row>
    <row r="16" spans="1:14" s="7" customFormat="1" ht="10.5" customHeight="1">
      <c r="A16" s="1172"/>
      <c r="B16" s="1172"/>
      <c r="C16" s="1839"/>
      <c r="D16" s="1840"/>
      <c r="E16" s="1841"/>
      <c r="F16" s="738" t="s">
        <v>186</v>
      </c>
      <c r="G16" s="732" t="s">
        <v>121</v>
      </c>
      <c r="H16" s="791">
        <v>40.6</v>
      </c>
      <c r="I16" s="609">
        <f t="shared" ref="I16:J16" si="4">H16*1.006</f>
        <v>40.843600000000002</v>
      </c>
      <c r="J16" s="609">
        <f t="shared" si="4"/>
        <v>41.088661600000002</v>
      </c>
      <c r="K16" s="1386"/>
      <c r="L16" s="1519"/>
      <c r="M16" s="1519"/>
      <c r="N16" s="1797"/>
    </row>
    <row r="17" spans="1:14" s="7" customFormat="1" ht="10.5" customHeight="1">
      <c r="A17" s="1172"/>
      <c r="B17" s="1172"/>
      <c r="C17" s="1839"/>
      <c r="D17" s="1840"/>
      <c r="E17" s="1841"/>
      <c r="F17" s="346" t="s">
        <v>183</v>
      </c>
      <c r="G17" s="732" t="s">
        <v>121</v>
      </c>
      <c r="H17" s="791">
        <v>48.3</v>
      </c>
      <c r="I17" s="609">
        <f t="shared" ref="I17:J18" si="5">H17*1.006</f>
        <v>48.589799999999997</v>
      </c>
      <c r="J17" s="609">
        <f t="shared" si="5"/>
        <v>48.881338799999995</v>
      </c>
      <c r="K17" s="1793" t="s">
        <v>369</v>
      </c>
      <c r="L17" s="1746">
        <v>56</v>
      </c>
      <c r="M17" s="1746">
        <v>56</v>
      </c>
      <c r="N17" s="1798">
        <v>56</v>
      </c>
    </row>
    <row r="18" spans="1:14" s="7" customFormat="1" ht="13.5" thickBot="1">
      <c r="A18" s="1172"/>
      <c r="B18" s="1172"/>
      <c r="C18" s="1842"/>
      <c r="D18" s="1843"/>
      <c r="E18" s="1844"/>
      <c r="F18" s="247" t="s">
        <v>187</v>
      </c>
      <c r="G18" s="1015" t="s">
        <v>121</v>
      </c>
      <c r="H18" s="792">
        <v>60.6</v>
      </c>
      <c r="I18" s="609">
        <f t="shared" si="5"/>
        <v>60.9636</v>
      </c>
      <c r="J18" s="609">
        <f t="shared" si="5"/>
        <v>61.329381599999998</v>
      </c>
      <c r="K18" s="1202"/>
      <c r="L18" s="1346"/>
      <c r="M18" s="1346"/>
      <c r="N18" s="1801"/>
    </row>
    <row r="19" spans="1:14" s="7" customFormat="1" ht="13.5" thickBot="1">
      <c r="A19" s="1172"/>
      <c r="B19" s="1172"/>
      <c r="C19" s="1185" t="s">
        <v>118</v>
      </c>
      <c r="D19" s="1211"/>
      <c r="E19" s="1211"/>
      <c r="F19" s="1211"/>
      <c r="G19" s="1212"/>
      <c r="H19" s="873">
        <f>SUM(H9:H18)</f>
        <v>2219.6999999999998</v>
      </c>
      <c r="I19" s="874">
        <f>SUM(I9:I18)</f>
        <v>2233.0182000000004</v>
      </c>
      <c r="J19" s="874">
        <f>SUM(J9:J18)</f>
        <v>2246.4163091999999</v>
      </c>
      <c r="K19" s="139"/>
      <c r="L19" s="209"/>
      <c r="M19" s="209"/>
      <c r="N19" s="251"/>
    </row>
    <row r="20" spans="1:14" s="7" customFormat="1" ht="12.75" customHeight="1">
      <c r="A20" s="1172"/>
      <c r="B20" s="1172"/>
      <c r="C20" s="1165" t="s">
        <v>686</v>
      </c>
      <c r="D20" s="1340"/>
      <c r="E20" s="1341"/>
      <c r="F20" s="1041" t="s">
        <v>171</v>
      </c>
      <c r="G20" s="571" t="s">
        <v>121</v>
      </c>
      <c r="H20" s="833">
        <v>9.6</v>
      </c>
      <c r="I20" s="603">
        <v>0</v>
      </c>
      <c r="J20" s="603">
        <v>0</v>
      </c>
      <c r="K20" s="968" t="s">
        <v>872</v>
      </c>
      <c r="L20" s="457">
        <v>1</v>
      </c>
      <c r="M20" s="457"/>
      <c r="N20" s="458"/>
    </row>
    <row r="21" spans="1:14" s="7" customFormat="1" ht="12.75" customHeight="1">
      <c r="A21" s="1172"/>
      <c r="B21" s="1172"/>
      <c r="C21" s="1299"/>
      <c r="D21" s="1174"/>
      <c r="E21" s="1175"/>
      <c r="F21" s="1845" t="s">
        <v>182</v>
      </c>
      <c r="G21" s="1462" t="s">
        <v>121</v>
      </c>
      <c r="H21" s="1193">
        <v>40</v>
      </c>
      <c r="I21" s="1389">
        <v>40</v>
      </c>
      <c r="J21" s="1389">
        <v>40</v>
      </c>
      <c r="K21" s="720" t="s">
        <v>838</v>
      </c>
      <c r="L21" s="998">
        <v>1</v>
      </c>
      <c r="M21" s="998"/>
      <c r="N21" s="999"/>
    </row>
    <row r="22" spans="1:14" s="319" customFormat="1" ht="12" customHeight="1">
      <c r="A22" s="1172"/>
      <c r="B22" s="1172"/>
      <c r="C22" s="1299"/>
      <c r="D22" s="1174"/>
      <c r="E22" s="1175"/>
      <c r="F22" s="1531"/>
      <c r="G22" s="1339"/>
      <c r="H22" s="1388"/>
      <c r="I22" s="1229"/>
      <c r="J22" s="1229"/>
      <c r="K22" s="720" t="s">
        <v>839</v>
      </c>
      <c r="L22" s="998">
        <v>4</v>
      </c>
      <c r="M22" s="998"/>
      <c r="N22" s="999"/>
    </row>
    <row r="23" spans="1:14" s="319" customFormat="1" ht="10.5" customHeight="1">
      <c r="A23" s="1172"/>
      <c r="B23" s="1172"/>
      <c r="C23" s="1299"/>
      <c r="D23" s="1174"/>
      <c r="E23" s="1175"/>
      <c r="F23" s="1531"/>
      <c r="G23" s="1339"/>
      <c r="H23" s="1388"/>
      <c r="I23" s="1229"/>
      <c r="J23" s="1229"/>
      <c r="K23" s="720" t="s">
        <v>840</v>
      </c>
      <c r="L23" s="998"/>
      <c r="M23" s="998"/>
      <c r="N23" s="999">
        <v>150</v>
      </c>
    </row>
    <row r="24" spans="1:14" s="319" customFormat="1">
      <c r="A24" s="1172"/>
      <c r="B24" s="1172"/>
      <c r="C24" s="1299"/>
      <c r="D24" s="1174"/>
      <c r="E24" s="1175"/>
      <c r="F24" s="1531"/>
      <c r="G24" s="1339"/>
      <c r="H24" s="1388"/>
      <c r="I24" s="1229"/>
      <c r="J24" s="1229"/>
      <c r="K24" s="720" t="s">
        <v>841</v>
      </c>
      <c r="L24" s="998">
        <v>4</v>
      </c>
      <c r="M24" s="998"/>
      <c r="N24" s="999"/>
    </row>
    <row r="25" spans="1:14" s="7" customFormat="1" ht="15" customHeight="1">
      <c r="A25" s="1172"/>
      <c r="B25" s="1172"/>
      <c r="C25" s="1824"/>
      <c r="D25" s="1825"/>
      <c r="E25" s="1826"/>
      <c r="F25" s="1736" t="s">
        <v>258</v>
      </c>
      <c r="G25" s="1462" t="s">
        <v>121</v>
      </c>
      <c r="H25" s="1193">
        <v>50</v>
      </c>
      <c r="I25" s="1193">
        <v>40</v>
      </c>
      <c r="J25" s="1193">
        <v>40</v>
      </c>
      <c r="K25" s="1000" t="s">
        <v>842</v>
      </c>
      <c r="L25" s="998">
        <v>7</v>
      </c>
      <c r="M25" s="1001"/>
      <c r="N25" s="1002"/>
    </row>
    <row r="26" spans="1:14" s="436" customFormat="1">
      <c r="A26" s="1172"/>
      <c r="B26" s="1172"/>
      <c r="C26" s="1824"/>
      <c r="D26" s="1825"/>
      <c r="E26" s="1826"/>
      <c r="F26" s="1737"/>
      <c r="G26" s="1738"/>
      <c r="H26" s="1739"/>
      <c r="I26" s="1739"/>
      <c r="J26" s="1739"/>
      <c r="K26" s="1006" t="s">
        <v>843</v>
      </c>
      <c r="L26" s="1001"/>
      <c r="M26" s="1001">
        <v>1</v>
      </c>
      <c r="N26" s="1002"/>
    </row>
    <row r="27" spans="1:14" s="436" customFormat="1">
      <c r="A27" s="1172"/>
      <c r="B27" s="1172"/>
      <c r="C27" s="1824"/>
      <c r="D27" s="1825"/>
      <c r="E27" s="1826"/>
      <c r="F27" s="1737"/>
      <c r="G27" s="1738"/>
      <c r="H27" s="1739"/>
      <c r="I27" s="1739"/>
      <c r="J27" s="1739"/>
      <c r="K27" s="1006" t="s">
        <v>844</v>
      </c>
      <c r="L27" s="1001">
        <v>180</v>
      </c>
      <c r="M27" s="1001"/>
      <c r="N27" s="1002"/>
    </row>
    <row r="28" spans="1:14" s="436" customFormat="1">
      <c r="A28" s="1172"/>
      <c r="B28" s="1172"/>
      <c r="C28" s="1824"/>
      <c r="D28" s="1825"/>
      <c r="E28" s="1826"/>
      <c r="F28" s="1737"/>
      <c r="G28" s="1738"/>
      <c r="H28" s="1739"/>
      <c r="I28" s="1739"/>
      <c r="J28" s="1739"/>
      <c r="K28" s="1006" t="s">
        <v>845</v>
      </c>
      <c r="L28" s="1001">
        <v>1</v>
      </c>
      <c r="M28" s="1001"/>
      <c r="N28" s="1002"/>
    </row>
    <row r="29" spans="1:14" s="436" customFormat="1">
      <c r="A29" s="1172"/>
      <c r="B29" s="1172"/>
      <c r="C29" s="1824"/>
      <c r="D29" s="1825"/>
      <c r="E29" s="1826"/>
      <c r="F29" s="1189"/>
      <c r="G29" s="1191"/>
      <c r="H29" s="1331"/>
      <c r="I29" s="1331"/>
      <c r="J29" s="1331"/>
      <c r="K29" s="1006" t="s">
        <v>846</v>
      </c>
      <c r="L29" s="1001">
        <v>1.6</v>
      </c>
      <c r="M29" s="1001"/>
      <c r="N29" s="1002"/>
    </row>
    <row r="30" spans="1:14" s="7" customFormat="1" ht="18" customHeight="1">
      <c r="A30" s="1172"/>
      <c r="B30" s="1172"/>
      <c r="C30" s="1824"/>
      <c r="D30" s="1825"/>
      <c r="E30" s="1826"/>
      <c r="F30" s="1736" t="s">
        <v>752</v>
      </c>
      <c r="G30" s="1462" t="s">
        <v>121</v>
      </c>
      <c r="H30" s="1193">
        <f>50+500+10+70+2+50+3+100</f>
        <v>785</v>
      </c>
      <c r="I30" s="1389">
        <f>H30*1.006</f>
        <v>789.71</v>
      </c>
      <c r="J30" s="1791">
        <f>I30*1.006</f>
        <v>794.44826</v>
      </c>
      <c r="K30" s="1003" t="s">
        <v>745</v>
      </c>
      <c r="L30" s="998">
        <v>400</v>
      </c>
      <c r="M30" s="1004">
        <v>400</v>
      </c>
      <c r="N30" s="999">
        <v>400</v>
      </c>
    </row>
    <row r="31" spans="1:14" s="319" customFormat="1" ht="13.5" customHeight="1">
      <c r="A31" s="1172"/>
      <c r="B31" s="1172"/>
      <c r="C31" s="1824"/>
      <c r="D31" s="1825"/>
      <c r="E31" s="1826"/>
      <c r="F31" s="1531"/>
      <c r="G31" s="1339"/>
      <c r="H31" s="1388"/>
      <c r="I31" s="1229"/>
      <c r="J31" s="1353"/>
      <c r="K31" s="1005" t="s">
        <v>414</v>
      </c>
      <c r="L31" s="998">
        <v>12</v>
      </c>
      <c r="M31" s="998">
        <v>12</v>
      </c>
      <c r="N31" s="999">
        <v>10</v>
      </c>
    </row>
    <row r="32" spans="1:14" s="319" customFormat="1" ht="24.75" customHeight="1">
      <c r="A32" s="1172"/>
      <c r="B32" s="1172"/>
      <c r="C32" s="1824"/>
      <c r="D32" s="1825"/>
      <c r="E32" s="1826"/>
      <c r="F32" s="1531"/>
      <c r="G32" s="1339"/>
      <c r="H32" s="1388"/>
      <c r="I32" s="1229"/>
      <c r="J32" s="1353"/>
      <c r="K32" s="1006" t="s">
        <v>746</v>
      </c>
      <c r="L32" s="998">
        <v>10</v>
      </c>
      <c r="M32" s="998">
        <v>10</v>
      </c>
      <c r="N32" s="999">
        <v>10</v>
      </c>
    </row>
    <row r="33" spans="1:14" s="319" customFormat="1" ht="22.5">
      <c r="A33" s="1172"/>
      <c r="B33" s="1172"/>
      <c r="C33" s="1824"/>
      <c r="D33" s="1825"/>
      <c r="E33" s="1826"/>
      <c r="F33" s="1531"/>
      <c r="G33" s="1339"/>
      <c r="H33" s="1388"/>
      <c r="I33" s="1229"/>
      <c r="J33" s="1792"/>
      <c r="K33" s="1000" t="s">
        <v>747</v>
      </c>
      <c r="L33" s="998">
        <v>1</v>
      </c>
      <c r="M33" s="998">
        <v>1</v>
      </c>
      <c r="N33" s="999">
        <v>1</v>
      </c>
    </row>
    <row r="34" spans="1:14" s="436" customFormat="1" ht="15.75" customHeight="1">
      <c r="A34" s="1172"/>
      <c r="B34" s="1172"/>
      <c r="C34" s="1824"/>
      <c r="D34" s="1825"/>
      <c r="E34" s="1826"/>
      <c r="F34" s="1531"/>
      <c r="G34" s="1339"/>
      <c r="H34" s="1388"/>
      <c r="I34" s="1229"/>
      <c r="J34" s="1353"/>
      <c r="K34" s="720" t="s">
        <v>748</v>
      </c>
      <c r="L34" s="998">
        <v>1</v>
      </c>
      <c r="M34" s="998"/>
      <c r="N34" s="999"/>
    </row>
    <row r="35" spans="1:14" s="436" customFormat="1" ht="22.5">
      <c r="A35" s="1172"/>
      <c r="B35" s="1172"/>
      <c r="C35" s="1824"/>
      <c r="D35" s="1825"/>
      <c r="E35" s="1826"/>
      <c r="F35" s="1531"/>
      <c r="G35" s="1339"/>
      <c r="H35" s="1388"/>
      <c r="I35" s="1229"/>
      <c r="J35" s="1353"/>
      <c r="K35" s="720" t="s">
        <v>749</v>
      </c>
      <c r="L35" s="998">
        <v>1</v>
      </c>
      <c r="M35" s="998"/>
      <c r="N35" s="999"/>
    </row>
    <row r="36" spans="1:14" s="436" customFormat="1" ht="18.75" customHeight="1">
      <c r="A36" s="1172"/>
      <c r="B36" s="1172"/>
      <c r="C36" s="1824"/>
      <c r="D36" s="1825"/>
      <c r="E36" s="1826"/>
      <c r="F36" s="1531"/>
      <c r="G36" s="1339"/>
      <c r="H36" s="1388"/>
      <c r="I36" s="1229"/>
      <c r="J36" s="1353"/>
      <c r="K36" s="720" t="s">
        <v>751</v>
      </c>
      <c r="L36" s="998">
        <v>1</v>
      </c>
      <c r="M36" s="998">
        <v>1</v>
      </c>
      <c r="N36" s="999">
        <v>1</v>
      </c>
    </row>
    <row r="37" spans="1:14" s="319" customFormat="1">
      <c r="A37" s="1172"/>
      <c r="B37" s="1172"/>
      <c r="C37" s="1824"/>
      <c r="D37" s="1825"/>
      <c r="E37" s="1826"/>
      <c r="F37" s="1743"/>
      <c r="G37" s="1529"/>
      <c r="H37" s="1385"/>
      <c r="I37" s="1386"/>
      <c r="J37" s="1353"/>
      <c r="K37" s="720" t="s">
        <v>750</v>
      </c>
      <c r="L37" s="998">
        <v>1</v>
      </c>
      <c r="M37" s="1001"/>
      <c r="N37" s="1002"/>
    </row>
    <row r="38" spans="1:14" s="7" customFormat="1">
      <c r="A38" s="1172"/>
      <c r="B38" s="1172"/>
      <c r="C38" s="1824"/>
      <c r="D38" s="1825"/>
      <c r="E38" s="1826"/>
      <c r="F38" s="1736" t="s">
        <v>184</v>
      </c>
      <c r="G38" s="1462" t="s">
        <v>121</v>
      </c>
      <c r="H38" s="1193">
        <v>40</v>
      </c>
      <c r="I38" s="1193">
        <v>40</v>
      </c>
      <c r="J38" s="1193">
        <v>40</v>
      </c>
      <c r="K38" s="1007" t="s">
        <v>847</v>
      </c>
      <c r="L38" s="998">
        <v>1</v>
      </c>
      <c r="M38" s="998"/>
      <c r="N38" s="999"/>
    </row>
    <row r="39" spans="1:14" s="436" customFormat="1" ht="22.5">
      <c r="A39" s="1172"/>
      <c r="B39" s="1172"/>
      <c r="C39" s="1824"/>
      <c r="D39" s="1825"/>
      <c r="E39" s="1826"/>
      <c r="F39" s="1737"/>
      <c r="G39" s="1738"/>
      <c r="H39" s="1739"/>
      <c r="I39" s="1739"/>
      <c r="J39" s="1739"/>
      <c r="K39" s="1007" t="s">
        <v>848</v>
      </c>
      <c r="L39" s="998">
        <v>63</v>
      </c>
      <c r="M39" s="998"/>
      <c r="N39" s="999"/>
    </row>
    <row r="40" spans="1:14" s="436" customFormat="1">
      <c r="A40" s="1172"/>
      <c r="B40" s="1172"/>
      <c r="C40" s="1824"/>
      <c r="D40" s="1825"/>
      <c r="E40" s="1826"/>
      <c r="F40" s="1737"/>
      <c r="G40" s="1738"/>
      <c r="H40" s="1739"/>
      <c r="I40" s="1739"/>
      <c r="J40" s="1739"/>
      <c r="K40" s="1007" t="s">
        <v>849</v>
      </c>
      <c r="L40" s="998">
        <v>3</v>
      </c>
      <c r="M40" s="998"/>
      <c r="N40" s="999"/>
    </row>
    <row r="41" spans="1:14" s="436" customFormat="1" ht="22.5">
      <c r="A41" s="1172"/>
      <c r="B41" s="1172"/>
      <c r="C41" s="1824"/>
      <c r="D41" s="1825"/>
      <c r="E41" s="1826"/>
      <c r="F41" s="1737"/>
      <c r="G41" s="1738"/>
      <c r="H41" s="1739"/>
      <c r="I41" s="1739"/>
      <c r="J41" s="1739"/>
      <c r="K41" s="1007" t="s">
        <v>850</v>
      </c>
      <c r="L41" s="998">
        <v>1</v>
      </c>
      <c r="M41" s="998"/>
      <c r="N41" s="999"/>
    </row>
    <row r="42" spans="1:14" s="436" customFormat="1">
      <c r="A42" s="1172"/>
      <c r="B42" s="1172"/>
      <c r="C42" s="1824"/>
      <c r="D42" s="1825"/>
      <c r="E42" s="1826"/>
      <c r="F42" s="1737"/>
      <c r="G42" s="1738"/>
      <c r="H42" s="1739"/>
      <c r="I42" s="1739"/>
      <c r="J42" s="1739"/>
      <c r="K42" s="1007" t="s">
        <v>851</v>
      </c>
      <c r="L42" s="998">
        <v>1</v>
      </c>
      <c r="M42" s="998"/>
      <c r="N42" s="999"/>
    </row>
    <row r="43" spans="1:14" s="436" customFormat="1">
      <c r="A43" s="1172"/>
      <c r="B43" s="1172"/>
      <c r="C43" s="1824"/>
      <c r="D43" s="1825"/>
      <c r="E43" s="1826"/>
      <c r="F43" s="1737"/>
      <c r="G43" s="1738"/>
      <c r="H43" s="1739"/>
      <c r="I43" s="1739"/>
      <c r="J43" s="1739"/>
      <c r="K43" s="1007" t="s">
        <v>852</v>
      </c>
      <c r="L43" s="998">
        <v>1</v>
      </c>
      <c r="M43" s="998"/>
      <c r="N43" s="999"/>
    </row>
    <row r="44" spans="1:14" s="436" customFormat="1">
      <c r="A44" s="1172"/>
      <c r="B44" s="1172"/>
      <c r="C44" s="1824"/>
      <c r="D44" s="1825"/>
      <c r="E44" s="1826"/>
      <c r="F44" s="1737"/>
      <c r="G44" s="1738"/>
      <c r="H44" s="1739"/>
      <c r="I44" s="1739"/>
      <c r="J44" s="1739"/>
      <c r="K44" s="1007" t="s">
        <v>853</v>
      </c>
      <c r="L44" s="998">
        <v>8</v>
      </c>
      <c r="M44" s="998"/>
      <c r="N44" s="999"/>
    </row>
    <row r="45" spans="1:14" s="436" customFormat="1" ht="22.5">
      <c r="A45" s="1172"/>
      <c r="B45" s="1172"/>
      <c r="C45" s="1824"/>
      <c r="D45" s="1825"/>
      <c r="E45" s="1826"/>
      <c r="F45" s="1737"/>
      <c r="G45" s="1738"/>
      <c r="H45" s="1739"/>
      <c r="I45" s="1739"/>
      <c r="J45" s="1739"/>
      <c r="K45" s="1007" t="s">
        <v>854</v>
      </c>
      <c r="L45" s="998">
        <v>1</v>
      </c>
      <c r="M45" s="998"/>
      <c r="N45" s="999"/>
    </row>
    <row r="46" spans="1:14" s="319" customFormat="1">
      <c r="A46" s="1172"/>
      <c r="B46" s="1172"/>
      <c r="C46" s="1824"/>
      <c r="D46" s="1825"/>
      <c r="E46" s="1826"/>
      <c r="F46" s="1743"/>
      <c r="G46" s="1529"/>
      <c r="H46" s="1385"/>
      <c r="I46" s="1386"/>
      <c r="J46" s="1386"/>
      <c r="K46" s="1007" t="s">
        <v>855</v>
      </c>
      <c r="L46" s="998">
        <v>1000</v>
      </c>
      <c r="M46" s="998"/>
      <c r="N46" s="999"/>
    </row>
    <row r="47" spans="1:14" s="7" customFormat="1" ht="22.5">
      <c r="A47" s="1172"/>
      <c r="B47" s="1172"/>
      <c r="C47" s="1824"/>
      <c r="D47" s="1825"/>
      <c r="E47" s="1826"/>
      <c r="F47" s="863" t="s">
        <v>185</v>
      </c>
      <c r="G47" s="864" t="s">
        <v>121</v>
      </c>
      <c r="H47" s="837">
        <v>40</v>
      </c>
      <c r="I47" s="837">
        <v>40</v>
      </c>
      <c r="J47" s="837">
        <v>40</v>
      </c>
      <c r="K47" s="1007" t="s">
        <v>856</v>
      </c>
      <c r="L47" s="998">
        <v>5</v>
      </c>
      <c r="M47" s="998"/>
      <c r="N47" s="999"/>
    </row>
    <row r="48" spans="1:14" s="7" customFormat="1">
      <c r="A48" s="1172"/>
      <c r="B48" s="1172"/>
      <c r="C48" s="1824"/>
      <c r="D48" s="1825"/>
      <c r="E48" s="1826"/>
      <c r="F48" s="1736" t="s">
        <v>188</v>
      </c>
      <c r="G48" s="1462" t="s">
        <v>121</v>
      </c>
      <c r="H48" s="1193">
        <v>40</v>
      </c>
      <c r="I48" s="1744">
        <v>40</v>
      </c>
      <c r="J48" s="1744">
        <v>40</v>
      </c>
      <c r="K48" s="501" t="s">
        <v>857</v>
      </c>
      <c r="L48" s="475">
        <v>1</v>
      </c>
      <c r="M48" s="475"/>
      <c r="N48" s="764"/>
    </row>
    <row r="49" spans="1:14" s="436" customFormat="1">
      <c r="A49" s="1172"/>
      <c r="B49" s="1172"/>
      <c r="C49" s="1824"/>
      <c r="D49" s="1825"/>
      <c r="E49" s="1826"/>
      <c r="F49" s="1737"/>
      <c r="G49" s="1738"/>
      <c r="H49" s="1739"/>
      <c r="I49" s="1745"/>
      <c r="J49" s="1745"/>
      <c r="K49" s="501" t="s">
        <v>851</v>
      </c>
      <c r="L49" s="475">
        <v>1</v>
      </c>
      <c r="M49" s="475"/>
      <c r="N49" s="764"/>
    </row>
    <row r="50" spans="1:14" s="436" customFormat="1">
      <c r="A50" s="1172"/>
      <c r="B50" s="1172"/>
      <c r="C50" s="1824"/>
      <c r="D50" s="1825"/>
      <c r="E50" s="1826"/>
      <c r="F50" s="1737"/>
      <c r="G50" s="1738"/>
      <c r="H50" s="1739"/>
      <c r="I50" s="1745"/>
      <c r="J50" s="1745"/>
      <c r="K50" s="501" t="s">
        <v>858</v>
      </c>
      <c r="L50" s="475">
        <v>150</v>
      </c>
      <c r="M50" s="475"/>
      <c r="N50" s="764"/>
    </row>
    <row r="51" spans="1:14" s="319" customFormat="1">
      <c r="A51" s="1172"/>
      <c r="B51" s="1172"/>
      <c r="C51" s="1824"/>
      <c r="D51" s="1825"/>
      <c r="E51" s="1826"/>
      <c r="F51" s="1531"/>
      <c r="G51" s="1339"/>
      <c r="H51" s="1576"/>
      <c r="I51" s="1229"/>
      <c r="J51" s="1229"/>
      <c r="K51" s="501" t="s">
        <v>859</v>
      </c>
      <c r="L51" s="475">
        <v>19</v>
      </c>
      <c r="M51" s="475"/>
      <c r="N51" s="764"/>
    </row>
    <row r="52" spans="1:14" s="319" customFormat="1">
      <c r="A52" s="1172"/>
      <c r="B52" s="1172"/>
      <c r="C52" s="1824"/>
      <c r="D52" s="1825"/>
      <c r="E52" s="1826"/>
      <c r="F52" s="1743"/>
      <c r="G52" s="1529"/>
      <c r="H52" s="1568"/>
      <c r="I52" s="1386"/>
      <c r="J52" s="1386"/>
      <c r="K52" s="501" t="s">
        <v>860</v>
      </c>
      <c r="L52" s="475">
        <v>250</v>
      </c>
      <c r="M52" s="475"/>
      <c r="N52" s="764"/>
    </row>
    <row r="53" spans="1:14" s="7" customFormat="1" ht="22.5">
      <c r="A53" s="1172"/>
      <c r="B53" s="1172"/>
      <c r="C53" s="1824"/>
      <c r="D53" s="1825"/>
      <c r="E53" s="1826"/>
      <c r="F53" s="1740" t="s">
        <v>186</v>
      </c>
      <c r="G53" s="1462" t="s">
        <v>121</v>
      </c>
      <c r="H53" s="1193">
        <v>40</v>
      </c>
      <c r="I53" s="1193">
        <v>40</v>
      </c>
      <c r="J53" s="1193">
        <v>40</v>
      </c>
      <c r="K53" s="1006" t="s">
        <v>861</v>
      </c>
      <c r="L53" s="989">
        <v>1</v>
      </c>
      <c r="M53" s="1008"/>
      <c r="N53" s="764"/>
    </row>
    <row r="54" spans="1:14" s="436" customFormat="1" ht="22.5">
      <c r="A54" s="1172"/>
      <c r="B54" s="1172"/>
      <c r="C54" s="1824"/>
      <c r="D54" s="1825"/>
      <c r="E54" s="1826"/>
      <c r="F54" s="1741"/>
      <c r="G54" s="1738"/>
      <c r="H54" s="1739"/>
      <c r="I54" s="1739"/>
      <c r="J54" s="1739"/>
      <c r="K54" s="1006" t="s">
        <v>862</v>
      </c>
      <c r="L54" s="989">
        <v>100</v>
      </c>
      <c r="M54" s="1008">
        <v>600</v>
      </c>
      <c r="N54" s="764">
        <v>500</v>
      </c>
    </row>
    <row r="55" spans="1:14" s="436" customFormat="1">
      <c r="A55" s="1172"/>
      <c r="B55" s="1172"/>
      <c r="C55" s="1824"/>
      <c r="D55" s="1825"/>
      <c r="E55" s="1826"/>
      <c r="F55" s="1742"/>
      <c r="G55" s="1191"/>
      <c r="H55" s="1331"/>
      <c r="I55" s="1331"/>
      <c r="J55" s="1331"/>
      <c r="K55" s="1006" t="s">
        <v>863</v>
      </c>
      <c r="L55" s="989">
        <v>13</v>
      </c>
      <c r="M55" s="1008"/>
      <c r="N55" s="764"/>
    </row>
    <row r="56" spans="1:14" s="7" customFormat="1" ht="10.5" customHeight="1">
      <c r="A56" s="1172"/>
      <c r="B56" s="1172"/>
      <c r="C56" s="1824"/>
      <c r="D56" s="1825"/>
      <c r="E56" s="1826"/>
      <c r="F56" s="1736" t="s">
        <v>183</v>
      </c>
      <c r="G56" s="1462" t="s">
        <v>121</v>
      </c>
      <c r="H56" s="1193">
        <v>51</v>
      </c>
      <c r="I56" s="1193">
        <v>40</v>
      </c>
      <c r="J56" s="1193">
        <v>40</v>
      </c>
      <c r="K56" s="534" t="s">
        <v>864</v>
      </c>
      <c r="L56" s="475">
        <v>1</v>
      </c>
      <c r="M56" s="475"/>
      <c r="N56" s="764"/>
    </row>
    <row r="57" spans="1:14" s="436" customFormat="1" ht="10.5" customHeight="1">
      <c r="A57" s="1172"/>
      <c r="B57" s="1172"/>
      <c r="C57" s="1824"/>
      <c r="D57" s="1825"/>
      <c r="E57" s="1826"/>
      <c r="F57" s="1737"/>
      <c r="G57" s="1738"/>
      <c r="H57" s="1739"/>
      <c r="I57" s="1739"/>
      <c r="J57" s="1739"/>
      <c r="K57" s="867" t="s">
        <v>865</v>
      </c>
      <c r="L57" s="1012">
        <v>279</v>
      </c>
      <c r="M57" s="1012">
        <v>122</v>
      </c>
      <c r="N57" s="1013"/>
    </row>
    <row r="58" spans="1:14" s="319" customFormat="1" ht="22.5">
      <c r="A58" s="1172"/>
      <c r="B58" s="1172"/>
      <c r="C58" s="1824"/>
      <c r="D58" s="1825"/>
      <c r="E58" s="1826"/>
      <c r="F58" s="1743"/>
      <c r="G58" s="1529"/>
      <c r="H58" s="1385"/>
      <c r="I58" s="1336"/>
      <c r="J58" s="1336"/>
      <c r="K58" s="722" t="s">
        <v>866</v>
      </c>
      <c r="L58" s="470">
        <v>22</v>
      </c>
      <c r="M58" s="470"/>
      <c r="N58" s="520"/>
    </row>
    <row r="59" spans="1:14" s="319" customFormat="1" ht="25.5" customHeight="1">
      <c r="A59" s="1172"/>
      <c r="B59" s="1172"/>
      <c r="C59" s="1824"/>
      <c r="D59" s="1825"/>
      <c r="E59" s="1826"/>
      <c r="F59" s="1736" t="s">
        <v>187</v>
      </c>
      <c r="G59" s="1462" t="s">
        <v>121</v>
      </c>
      <c r="H59" s="1193">
        <v>41.2</v>
      </c>
      <c r="I59" s="1193">
        <v>40</v>
      </c>
      <c r="J59" s="1193">
        <v>40</v>
      </c>
      <c r="K59" s="722" t="s">
        <v>867</v>
      </c>
      <c r="L59" s="470">
        <v>1</v>
      </c>
      <c r="M59" s="470"/>
      <c r="N59" s="520"/>
    </row>
    <row r="60" spans="1:14" s="436" customFormat="1" ht="25.5" customHeight="1">
      <c r="A60" s="1172"/>
      <c r="B60" s="1172"/>
      <c r="C60" s="1824"/>
      <c r="D60" s="1825"/>
      <c r="E60" s="1826"/>
      <c r="F60" s="1737"/>
      <c r="G60" s="1738"/>
      <c r="H60" s="1739"/>
      <c r="I60" s="1739"/>
      <c r="J60" s="1739"/>
      <c r="K60" s="1014" t="s">
        <v>868</v>
      </c>
      <c r="L60" s="1012">
        <v>2</v>
      </c>
      <c r="M60" s="1012"/>
      <c r="N60" s="1013"/>
    </row>
    <row r="61" spans="1:14" s="436" customFormat="1" ht="25.5" customHeight="1">
      <c r="A61" s="1172"/>
      <c r="B61" s="1172"/>
      <c r="C61" s="1824"/>
      <c r="D61" s="1825"/>
      <c r="E61" s="1826"/>
      <c r="F61" s="1737"/>
      <c r="G61" s="1738"/>
      <c r="H61" s="1739"/>
      <c r="I61" s="1739"/>
      <c r="J61" s="1739"/>
      <c r="K61" s="1014" t="s">
        <v>869</v>
      </c>
      <c r="L61" s="1012">
        <v>7</v>
      </c>
      <c r="M61" s="1012"/>
      <c r="N61" s="1013"/>
    </row>
    <row r="62" spans="1:14" s="436" customFormat="1" ht="25.5" customHeight="1">
      <c r="A62" s="1172"/>
      <c r="B62" s="1172"/>
      <c r="C62" s="1824"/>
      <c r="D62" s="1825"/>
      <c r="E62" s="1826"/>
      <c r="F62" s="1737"/>
      <c r="G62" s="1738"/>
      <c r="H62" s="1739"/>
      <c r="I62" s="1739"/>
      <c r="J62" s="1739"/>
      <c r="K62" s="1014" t="s">
        <v>870</v>
      </c>
      <c r="L62" s="1012">
        <v>1040</v>
      </c>
      <c r="M62" s="1012"/>
      <c r="N62" s="1013"/>
    </row>
    <row r="63" spans="1:14" s="7" customFormat="1" ht="26.25" customHeight="1" thickBot="1">
      <c r="A63" s="1172"/>
      <c r="B63" s="1172"/>
      <c r="C63" s="1827"/>
      <c r="D63" s="1828"/>
      <c r="E63" s="1829"/>
      <c r="F63" s="1345"/>
      <c r="G63" s="1198"/>
      <c r="H63" s="1816"/>
      <c r="I63" s="1817"/>
      <c r="J63" s="1817"/>
      <c r="K63" s="502" t="s">
        <v>871</v>
      </c>
      <c r="L63" s="478">
        <v>1</v>
      </c>
      <c r="M63" s="478"/>
      <c r="N63" s="463"/>
    </row>
    <row r="64" spans="1:14" s="7" customFormat="1" ht="13.5" thickBot="1">
      <c r="A64" s="1172"/>
      <c r="B64" s="1172"/>
      <c r="C64" s="1423" t="s">
        <v>118</v>
      </c>
      <c r="D64" s="1319"/>
      <c r="E64" s="1319"/>
      <c r="F64" s="1319"/>
      <c r="G64" s="1319"/>
      <c r="H64" s="895">
        <f>SUM(H20:H59)</f>
        <v>1136.8</v>
      </c>
      <c r="I64" s="896">
        <f>SUM(I20:I59)</f>
        <v>1109.71</v>
      </c>
      <c r="J64" s="896">
        <f>SUM(J20:J59)</f>
        <v>1114.4482600000001</v>
      </c>
      <c r="K64" s="439"/>
      <c r="L64" s="264"/>
      <c r="M64" s="264"/>
      <c r="N64" s="265"/>
    </row>
    <row r="65" spans="1:14" s="7" customFormat="1" ht="24.75" customHeight="1">
      <c r="A65" s="1172"/>
      <c r="B65" s="1172"/>
      <c r="C65" s="1165" t="s">
        <v>826</v>
      </c>
      <c r="D65" s="1340"/>
      <c r="E65" s="1341"/>
      <c r="F65" s="831" t="s">
        <v>171</v>
      </c>
      <c r="G65" s="832" t="s">
        <v>121</v>
      </c>
      <c r="H65" s="970">
        <v>11</v>
      </c>
      <c r="I65" s="970">
        <v>0</v>
      </c>
      <c r="J65" s="970">
        <v>0</v>
      </c>
      <c r="K65" s="971" t="s">
        <v>683</v>
      </c>
      <c r="L65" s="457"/>
      <c r="M65" s="457"/>
      <c r="N65" s="458"/>
    </row>
    <row r="66" spans="1:14" s="7" customFormat="1" ht="24" customHeight="1" thickBot="1">
      <c r="A66" s="1172"/>
      <c r="B66" s="1172"/>
      <c r="C66" s="1436"/>
      <c r="D66" s="1437"/>
      <c r="E66" s="1438"/>
      <c r="F66" s="1074" t="s">
        <v>171</v>
      </c>
      <c r="G66" s="498" t="s">
        <v>143</v>
      </c>
      <c r="H66" s="972">
        <v>62</v>
      </c>
      <c r="I66" s="972">
        <v>0</v>
      </c>
      <c r="J66" s="972">
        <v>0</v>
      </c>
      <c r="K66" s="413" t="s">
        <v>596</v>
      </c>
      <c r="L66" s="612">
        <v>100</v>
      </c>
      <c r="M66" s="612"/>
      <c r="N66" s="460"/>
    </row>
    <row r="67" spans="1:14" s="7" customFormat="1" ht="13.5" thickBot="1">
      <c r="A67" s="1172"/>
      <c r="B67" s="1172"/>
      <c r="C67" s="1223" t="s">
        <v>118</v>
      </c>
      <c r="D67" s="1445"/>
      <c r="E67" s="1445"/>
      <c r="F67" s="1445"/>
      <c r="G67" s="1559"/>
      <c r="H67" s="940">
        <f>SUM(H65:H66)</f>
        <v>73</v>
      </c>
      <c r="I67" s="943">
        <f>SUM(I65:I66)</f>
        <v>0</v>
      </c>
      <c r="J67" s="943">
        <f>SUM(J65:J66)</f>
        <v>0</v>
      </c>
      <c r="K67" s="196"/>
      <c r="L67" s="350"/>
      <c r="M67" s="350"/>
      <c r="N67" s="257"/>
    </row>
    <row r="68" spans="1:14" s="7" customFormat="1" ht="21.75" customHeight="1">
      <c r="A68" s="1172"/>
      <c r="B68" s="1172"/>
      <c r="C68" s="1299" t="s">
        <v>685</v>
      </c>
      <c r="D68" s="1322"/>
      <c r="E68" s="1322"/>
      <c r="F68" s="844" t="s">
        <v>171</v>
      </c>
      <c r="G68" s="836" t="s">
        <v>121</v>
      </c>
      <c r="H68" s="859">
        <v>48.5</v>
      </c>
      <c r="I68" s="859">
        <v>151.5</v>
      </c>
      <c r="J68" s="859"/>
      <c r="K68" s="969" t="s">
        <v>684</v>
      </c>
      <c r="L68" s="509"/>
      <c r="M68" s="509"/>
      <c r="N68" s="517">
        <v>1</v>
      </c>
    </row>
    <row r="69" spans="1:14" s="223" customFormat="1" ht="27" customHeight="1" thickBot="1">
      <c r="A69" s="1172"/>
      <c r="B69" s="1172"/>
      <c r="C69" s="1452"/>
      <c r="D69" s="1322"/>
      <c r="E69" s="1322"/>
      <c r="F69" s="853" t="s">
        <v>171</v>
      </c>
      <c r="G69" s="771" t="s">
        <v>172</v>
      </c>
      <c r="H69" s="1045">
        <v>80</v>
      </c>
      <c r="I69" s="1045">
        <v>551</v>
      </c>
      <c r="J69" s="1045">
        <v>316.5</v>
      </c>
      <c r="K69" s="813" t="s">
        <v>596</v>
      </c>
      <c r="L69" s="518">
        <v>50</v>
      </c>
      <c r="M69" s="518">
        <v>100</v>
      </c>
      <c r="N69" s="519">
        <v>100</v>
      </c>
    </row>
    <row r="70" spans="1:14" s="7" customFormat="1" ht="13.5" thickBot="1">
      <c r="A70" s="1172"/>
      <c r="B70" s="1173"/>
      <c r="C70" s="1153" t="s">
        <v>118</v>
      </c>
      <c r="D70" s="1378"/>
      <c r="E70" s="1378"/>
      <c r="F70" s="1378"/>
      <c r="G70" s="1379"/>
      <c r="H70" s="873">
        <f>SUM(H68:H69)</f>
        <v>128.5</v>
      </c>
      <c r="I70" s="873">
        <f>SUM(I68:I69)</f>
        <v>702.5</v>
      </c>
      <c r="J70" s="873">
        <f>SUM(J68:J69)</f>
        <v>316.5</v>
      </c>
      <c r="K70" s="139"/>
      <c r="L70" s="209"/>
      <c r="M70" s="209"/>
      <c r="N70" s="251"/>
    </row>
    <row r="71" spans="1:14" s="7" customFormat="1" ht="13.5" thickBot="1">
      <c r="A71" s="1172"/>
      <c r="B71" s="1153" t="s">
        <v>119</v>
      </c>
      <c r="C71" s="1378"/>
      <c r="D71" s="1378"/>
      <c r="E71" s="1378"/>
      <c r="F71" s="1378"/>
      <c r="G71" s="1379"/>
      <c r="H71" s="766">
        <f>H67+H64+H19+H70</f>
        <v>3558</v>
      </c>
      <c r="I71" s="767">
        <f>I67+I64+I19+I70</f>
        <v>4045.2282000000005</v>
      </c>
      <c r="J71" s="767">
        <f>J67+J64+J19+J70</f>
        <v>3677.3645692</v>
      </c>
      <c r="K71" s="139"/>
      <c r="L71" s="209"/>
      <c r="M71" s="209"/>
      <c r="N71" s="251"/>
    </row>
    <row r="72" spans="1:14" s="7" customFormat="1" ht="12.75" customHeight="1">
      <c r="A72" s="1172"/>
      <c r="B72" s="1171" t="s">
        <v>682</v>
      </c>
      <c r="C72" s="1773" t="s">
        <v>59</v>
      </c>
      <c r="D72" s="1773"/>
      <c r="E72" s="1836"/>
      <c r="F72" s="244" t="s">
        <v>171</v>
      </c>
      <c r="G72" s="242" t="s">
        <v>172</v>
      </c>
      <c r="H72" s="243">
        <f>133</f>
        <v>133</v>
      </c>
      <c r="I72" s="108">
        <f>H72*1.1</f>
        <v>146.30000000000001</v>
      </c>
      <c r="J72" s="108">
        <f>I72*1.1</f>
        <v>160.93000000000004</v>
      </c>
      <c r="K72" s="143" t="s">
        <v>371</v>
      </c>
      <c r="L72" s="279">
        <v>95.23</v>
      </c>
      <c r="M72" s="279">
        <v>95.23</v>
      </c>
      <c r="N72" s="279">
        <v>95.23</v>
      </c>
    </row>
    <row r="73" spans="1:14" s="7" customFormat="1" ht="13.5" thickBot="1">
      <c r="A73" s="1172"/>
      <c r="B73" s="1172"/>
      <c r="C73" s="1770"/>
      <c r="D73" s="1770"/>
      <c r="E73" s="1771"/>
      <c r="F73" s="299"/>
      <c r="G73" s="300"/>
      <c r="H73" s="301"/>
      <c r="I73" s="89"/>
      <c r="J73" s="89"/>
      <c r="K73" s="85"/>
      <c r="L73" s="293"/>
      <c r="M73" s="293"/>
      <c r="N73" s="294"/>
    </row>
    <row r="74" spans="1:14" s="7" customFormat="1" ht="13.5" thickBot="1">
      <c r="A74" s="1172"/>
      <c r="B74" s="1172"/>
      <c r="C74" s="1185" t="s">
        <v>118</v>
      </c>
      <c r="D74" s="1305"/>
      <c r="E74" s="1305"/>
      <c r="F74" s="1305"/>
      <c r="G74" s="1453"/>
      <c r="H74" s="873">
        <f>SUM(H72:H73)</f>
        <v>133</v>
      </c>
      <c r="I74" s="874">
        <f>SUM(I72:I73)</f>
        <v>146.30000000000001</v>
      </c>
      <c r="J74" s="874">
        <f>SUM(J72:J73)</f>
        <v>160.93000000000004</v>
      </c>
      <c r="K74" s="139"/>
      <c r="L74" s="209"/>
      <c r="M74" s="209"/>
      <c r="N74" s="251"/>
    </row>
    <row r="75" spans="1:14" s="16" customFormat="1" ht="11.25">
      <c r="A75" s="1172"/>
      <c r="B75" s="1172"/>
      <c r="C75" s="1773" t="s">
        <v>259</v>
      </c>
      <c r="D75" s="1773"/>
      <c r="E75" s="1836"/>
      <c r="F75" s="244" t="s">
        <v>171</v>
      </c>
      <c r="G75" s="242" t="s">
        <v>172</v>
      </c>
      <c r="H75" s="243">
        <f>90</f>
        <v>90</v>
      </c>
      <c r="I75" s="108">
        <f>H75*1.1</f>
        <v>99.000000000000014</v>
      </c>
      <c r="J75" s="108">
        <f>I75*1.1</f>
        <v>108.90000000000002</v>
      </c>
      <c r="K75" s="143" t="s">
        <v>435</v>
      </c>
      <c r="L75" s="279">
        <v>121.23</v>
      </c>
      <c r="M75" s="279">
        <v>121.23</v>
      </c>
      <c r="N75" s="280">
        <v>121.23</v>
      </c>
    </row>
    <row r="76" spans="1:14" s="7" customFormat="1" ht="13.5" thickBot="1">
      <c r="A76" s="1172"/>
      <c r="B76" s="1172"/>
      <c r="C76" s="1770"/>
      <c r="D76" s="1770"/>
      <c r="E76" s="1771"/>
      <c r="F76" s="245"/>
      <c r="G76" s="160"/>
      <c r="H76" s="301"/>
      <c r="I76" s="89"/>
      <c r="J76" s="89"/>
      <c r="K76" s="89"/>
      <c r="L76" s="301"/>
      <c r="M76" s="301"/>
      <c r="N76" s="302"/>
    </row>
    <row r="77" spans="1:14" s="7" customFormat="1" ht="13.5" thickBot="1">
      <c r="A77" s="1172"/>
      <c r="B77" s="1172"/>
      <c r="C77" s="1185" t="s">
        <v>118</v>
      </c>
      <c r="D77" s="1305"/>
      <c r="E77" s="1305"/>
      <c r="F77" s="1305"/>
      <c r="G77" s="1453"/>
      <c r="H77" s="873">
        <f>SUM(H75:H76)</f>
        <v>90</v>
      </c>
      <c r="I77" s="874">
        <f>SUM(I75:I76)</f>
        <v>99.000000000000014</v>
      </c>
      <c r="J77" s="874">
        <f>SUM(J75:J76)</f>
        <v>108.90000000000002</v>
      </c>
      <c r="K77" s="158"/>
      <c r="L77" s="260"/>
      <c r="M77" s="260"/>
      <c r="N77" s="261"/>
    </row>
    <row r="78" spans="1:14" s="7" customFormat="1">
      <c r="A78" s="1172"/>
      <c r="B78" s="1172"/>
      <c r="C78" s="1496" t="s">
        <v>19</v>
      </c>
      <c r="D78" s="1496"/>
      <c r="E78" s="1497"/>
      <c r="F78" s="78" t="s">
        <v>171</v>
      </c>
      <c r="G78" s="216" t="s">
        <v>172</v>
      </c>
      <c r="H78" s="215">
        <f>5.5+1.8+3.7+5.5+3.7+1.8+6</f>
        <v>28</v>
      </c>
      <c r="I78" s="80">
        <f>H78*1.1</f>
        <v>30.800000000000004</v>
      </c>
      <c r="J78" s="80">
        <f>I78*1.1</f>
        <v>33.88000000000001</v>
      </c>
      <c r="K78" s="1818" t="s">
        <v>372</v>
      </c>
      <c r="L78" s="1819">
        <v>76</v>
      </c>
      <c r="M78" s="1820">
        <v>76</v>
      </c>
      <c r="N78" s="1822">
        <v>76</v>
      </c>
    </row>
    <row r="79" spans="1:14" s="16" customFormat="1" ht="15.75" customHeight="1" thickBot="1">
      <c r="A79" s="1172"/>
      <c r="B79" s="1172"/>
      <c r="C79" s="1496"/>
      <c r="D79" s="1496"/>
      <c r="E79" s="1497"/>
      <c r="F79" s="75"/>
      <c r="G79" s="194"/>
      <c r="H79" s="190"/>
      <c r="I79" s="167"/>
      <c r="J79" s="167"/>
      <c r="K79" s="1818"/>
      <c r="L79" s="1819"/>
      <c r="M79" s="1821"/>
      <c r="N79" s="1823"/>
    </row>
    <row r="80" spans="1:14" s="7" customFormat="1" ht="13.5" thickBot="1">
      <c r="A80" s="1172"/>
      <c r="B80" s="1172"/>
      <c r="C80" s="1185" t="s">
        <v>118</v>
      </c>
      <c r="D80" s="1305"/>
      <c r="E80" s="1305"/>
      <c r="F80" s="1305"/>
      <c r="G80" s="1453"/>
      <c r="H80" s="873">
        <f>SUM(H78:H79)</f>
        <v>28</v>
      </c>
      <c r="I80" s="874">
        <f>SUM(I78:I79)</f>
        <v>30.800000000000004</v>
      </c>
      <c r="J80" s="874">
        <f>SUM(J78:J79)</f>
        <v>33.88000000000001</v>
      </c>
      <c r="K80" s="158"/>
      <c r="L80" s="260"/>
      <c r="M80" s="260"/>
      <c r="N80" s="261"/>
    </row>
    <row r="81" spans="1:14" s="7" customFormat="1">
      <c r="A81" s="1172"/>
      <c r="B81" s="1172"/>
      <c r="C81" s="1833" t="s">
        <v>20</v>
      </c>
      <c r="D81" s="1834"/>
      <c r="E81" s="1835"/>
      <c r="F81" s="78" t="s">
        <v>171</v>
      </c>
      <c r="G81" s="216" t="s">
        <v>172</v>
      </c>
      <c r="H81" s="215">
        <f>18+226.8+5.6</f>
        <v>250.4</v>
      </c>
      <c r="I81" s="80">
        <f>H81*1.006</f>
        <v>251.9024</v>
      </c>
      <c r="J81" s="80">
        <f>I81*1.006</f>
        <v>253.41381440000001</v>
      </c>
      <c r="K81" s="195" t="s">
        <v>373</v>
      </c>
      <c r="L81" s="281">
        <v>130.4</v>
      </c>
      <c r="M81" s="281">
        <v>130.4</v>
      </c>
      <c r="N81" s="282">
        <v>130.4</v>
      </c>
    </row>
    <row r="82" spans="1:14" s="16" customFormat="1" ht="15" customHeight="1" thickBot="1">
      <c r="A82" s="1172"/>
      <c r="B82" s="1172"/>
      <c r="C82" s="1834"/>
      <c r="D82" s="1834"/>
      <c r="E82" s="1835"/>
      <c r="F82" s="75"/>
      <c r="G82" s="194"/>
      <c r="H82" s="190"/>
      <c r="I82" s="167"/>
      <c r="J82" s="167"/>
      <c r="K82" s="167"/>
      <c r="L82" s="190"/>
      <c r="M82" s="190"/>
      <c r="N82" s="295"/>
    </row>
    <row r="83" spans="1:14" s="7" customFormat="1" ht="13.5" thickBot="1">
      <c r="A83" s="1172"/>
      <c r="B83" s="1172"/>
      <c r="C83" s="1185" t="s">
        <v>118</v>
      </c>
      <c r="D83" s="1305"/>
      <c r="E83" s="1305"/>
      <c r="F83" s="1305"/>
      <c r="G83" s="1453"/>
      <c r="H83" s="873">
        <f>SUM(H81:H82)</f>
        <v>250.4</v>
      </c>
      <c r="I83" s="874">
        <f>SUM(I81:I82)</f>
        <v>251.9024</v>
      </c>
      <c r="J83" s="874">
        <f>SUM(J81:J82)</f>
        <v>253.41381440000001</v>
      </c>
      <c r="K83" s="158"/>
      <c r="L83" s="260"/>
      <c r="M83" s="260"/>
      <c r="N83" s="261"/>
    </row>
    <row r="84" spans="1:14" s="7" customFormat="1" ht="16.5" customHeight="1">
      <c r="A84" s="1172"/>
      <c r="B84" s="1172"/>
      <c r="C84" s="1496" t="s">
        <v>21</v>
      </c>
      <c r="D84" s="1496"/>
      <c r="E84" s="1497"/>
      <c r="F84" s="78" t="s">
        <v>171</v>
      </c>
      <c r="G84" s="216" t="s">
        <v>172</v>
      </c>
      <c r="H84" s="215">
        <f>16.3+58.1+6.5</f>
        <v>80.900000000000006</v>
      </c>
      <c r="I84" s="80">
        <f>H84*1.1</f>
        <v>88.990000000000009</v>
      </c>
      <c r="J84" s="80">
        <f>I84*1.1</f>
        <v>97.889000000000024</v>
      </c>
      <c r="K84" s="195" t="s">
        <v>374</v>
      </c>
      <c r="L84" s="281">
        <v>48.68</v>
      </c>
      <c r="M84" s="281">
        <v>48.68</v>
      </c>
      <c r="N84" s="281">
        <v>48.68</v>
      </c>
    </row>
    <row r="85" spans="1:14" s="16" customFormat="1" ht="18.75" customHeight="1" thickBot="1">
      <c r="A85" s="1172"/>
      <c r="B85" s="1172"/>
      <c r="C85" s="1496"/>
      <c r="D85" s="1496"/>
      <c r="E85" s="1497"/>
      <c r="F85" s="75"/>
      <c r="G85" s="194"/>
      <c r="H85" s="190"/>
      <c r="I85" s="167"/>
      <c r="J85" s="167"/>
      <c r="K85" s="66"/>
      <c r="L85" s="253"/>
      <c r="M85" s="253"/>
      <c r="N85" s="254"/>
    </row>
    <row r="86" spans="1:14" s="7" customFormat="1" ht="13.5" thickBot="1">
      <c r="A86" s="1172"/>
      <c r="B86" s="1172"/>
      <c r="C86" s="1185" t="s">
        <v>118</v>
      </c>
      <c r="D86" s="1305"/>
      <c r="E86" s="1305"/>
      <c r="F86" s="1305"/>
      <c r="G86" s="1453"/>
      <c r="H86" s="873">
        <f>SUM(H84:H85)</f>
        <v>80.900000000000006</v>
      </c>
      <c r="I86" s="874">
        <f>SUM(I84:I85)</f>
        <v>88.990000000000009</v>
      </c>
      <c r="J86" s="874">
        <f>SUM(J84:J85)</f>
        <v>97.889000000000024</v>
      </c>
      <c r="K86" s="158"/>
      <c r="L86" s="260"/>
      <c r="M86" s="260"/>
      <c r="N86" s="261"/>
    </row>
    <row r="87" spans="1:14" s="7" customFormat="1" ht="18" customHeight="1">
      <c r="A87" s="1172"/>
      <c r="B87" s="1172"/>
      <c r="C87" s="1773" t="s">
        <v>22</v>
      </c>
      <c r="D87" s="1774"/>
      <c r="E87" s="1775"/>
      <c r="F87" s="74" t="s">
        <v>171</v>
      </c>
      <c r="G87" s="216" t="s">
        <v>172</v>
      </c>
      <c r="H87" s="215">
        <f>86+4.8+6.5</f>
        <v>97.3</v>
      </c>
      <c r="I87" s="80">
        <f>H87*1.1</f>
        <v>107.03</v>
      </c>
      <c r="J87" s="80">
        <f>I87*1.1</f>
        <v>117.733</v>
      </c>
      <c r="K87" s="195" t="s">
        <v>375</v>
      </c>
      <c r="L87" s="281">
        <v>123.92</v>
      </c>
      <c r="M87" s="281">
        <v>123.92</v>
      </c>
      <c r="N87" s="281">
        <v>123.92</v>
      </c>
    </row>
    <row r="88" spans="1:14" s="16" customFormat="1" ht="18.75" customHeight="1" thickBot="1">
      <c r="A88" s="1172"/>
      <c r="B88" s="1172"/>
      <c r="C88" s="1776"/>
      <c r="D88" s="1777"/>
      <c r="E88" s="1778"/>
      <c r="F88" s="217"/>
      <c r="G88" s="194"/>
      <c r="H88" s="190"/>
      <c r="I88" s="167"/>
      <c r="J88" s="167"/>
      <c r="K88" s="66"/>
      <c r="L88" s="253"/>
      <c r="M88" s="253"/>
      <c r="N88" s="254"/>
    </row>
    <row r="89" spans="1:14" s="7" customFormat="1" ht="13.5" thickBot="1">
      <c r="A89" s="1172"/>
      <c r="B89" s="1172"/>
      <c r="C89" s="1185" t="s">
        <v>118</v>
      </c>
      <c r="D89" s="1305"/>
      <c r="E89" s="1305"/>
      <c r="F89" s="1305"/>
      <c r="G89" s="1453"/>
      <c r="H89" s="873">
        <f>SUM(H87:H88)</f>
        <v>97.3</v>
      </c>
      <c r="I89" s="874">
        <f>SUM(I87:I88)</f>
        <v>107.03</v>
      </c>
      <c r="J89" s="874">
        <f>SUM(J87:J88)</f>
        <v>117.733</v>
      </c>
      <c r="K89" s="139"/>
      <c r="L89" s="209"/>
      <c r="M89" s="209"/>
      <c r="N89" s="251"/>
    </row>
    <row r="90" spans="1:14" s="7" customFormat="1" ht="15.75" customHeight="1">
      <c r="A90" s="1172"/>
      <c r="B90" s="1172"/>
      <c r="C90" s="1496" t="s">
        <v>23</v>
      </c>
      <c r="D90" s="1496"/>
      <c r="E90" s="1497"/>
      <c r="F90" s="78" t="s">
        <v>171</v>
      </c>
      <c r="G90" s="216" t="s">
        <v>172</v>
      </c>
      <c r="H90" s="215">
        <f>314</f>
        <v>314</v>
      </c>
      <c r="I90" s="80">
        <f>H90*1.1</f>
        <v>345.40000000000003</v>
      </c>
      <c r="J90" s="80">
        <f>I90*1.1</f>
        <v>379.94000000000005</v>
      </c>
      <c r="K90" s="195" t="s">
        <v>376</v>
      </c>
      <c r="L90" s="281">
        <v>173.7</v>
      </c>
      <c r="M90" s="281">
        <v>173.7</v>
      </c>
      <c r="N90" s="282">
        <v>173.7</v>
      </c>
    </row>
    <row r="91" spans="1:14" s="16" customFormat="1" ht="16.5" customHeight="1" thickBot="1">
      <c r="A91" s="1172"/>
      <c r="B91" s="1172"/>
      <c r="C91" s="1496"/>
      <c r="D91" s="1496"/>
      <c r="E91" s="1497"/>
      <c r="F91" s="75"/>
      <c r="G91" s="194"/>
      <c r="H91" s="190"/>
      <c r="I91" s="167"/>
      <c r="J91" s="167"/>
      <c r="K91" s="66"/>
      <c r="L91" s="253"/>
      <c r="M91" s="253"/>
      <c r="N91" s="254"/>
    </row>
    <row r="92" spans="1:14" s="16" customFormat="1" ht="13.5" thickBot="1">
      <c r="A92" s="1172"/>
      <c r="B92" s="1172"/>
      <c r="C92" s="1185" t="s">
        <v>118</v>
      </c>
      <c r="D92" s="1305"/>
      <c r="E92" s="1305"/>
      <c r="F92" s="1305"/>
      <c r="G92" s="1453"/>
      <c r="H92" s="873">
        <f>SUM(H90:H91)</f>
        <v>314</v>
      </c>
      <c r="I92" s="874">
        <f>SUM(I90:I91)</f>
        <v>345.40000000000003</v>
      </c>
      <c r="J92" s="874">
        <f>SUM(J90:J91)</f>
        <v>379.94000000000005</v>
      </c>
      <c r="K92" s="139"/>
      <c r="L92" s="209"/>
      <c r="M92" s="209"/>
      <c r="N92" s="251"/>
    </row>
    <row r="93" spans="1:14" s="7" customFormat="1" ht="18" customHeight="1">
      <c r="A93" s="1172"/>
      <c r="B93" s="1172"/>
      <c r="C93" s="1496" t="s">
        <v>24</v>
      </c>
      <c r="D93" s="1496"/>
      <c r="E93" s="1497"/>
      <c r="F93" s="78" t="s">
        <v>171</v>
      </c>
      <c r="G93" s="216" t="s">
        <v>172</v>
      </c>
      <c r="H93" s="215">
        <v>88</v>
      </c>
      <c r="I93" s="80">
        <f>H93*1.1</f>
        <v>96.800000000000011</v>
      </c>
      <c r="J93" s="80">
        <f>I93*1.1</f>
        <v>106.48000000000002</v>
      </c>
      <c r="K93" s="195" t="s">
        <v>377</v>
      </c>
      <c r="L93" s="281">
        <v>118.01</v>
      </c>
      <c r="M93" s="281">
        <v>118.01</v>
      </c>
      <c r="N93" s="281">
        <v>118.01</v>
      </c>
    </row>
    <row r="94" spans="1:14" s="7" customFormat="1" ht="18.75" customHeight="1" thickBot="1">
      <c r="A94" s="1172"/>
      <c r="B94" s="1172"/>
      <c r="C94" s="1496"/>
      <c r="D94" s="1496"/>
      <c r="E94" s="1497"/>
      <c r="F94" s="75"/>
      <c r="G94" s="217"/>
      <c r="H94" s="190"/>
      <c r="I94" s="66"/>
      <c r="J94" s="66"/>
      <c r="K94" s="218"/>
      <c r="L94" s="253"/>
      <c r="M94" s="253"/>
      <c r="N94" s="254"/>
    </row>
    <row r="95" spans="1:14" s="7" customFormat="1" ht="13.5" thickBot="1">
      <c r="A95" s="1172"/>
      <c r="B95" s="1172"/>
      <c r="C95" s="1185" t="s">
        <v>118</v>
      </c>
      <c r="D95" s="1305"/>
      <c r="E95" s="1305"/>
      <c r="F95" s="1305"/>
      <c r="G95" s="1453"/>
      <c r="H95" s="873">
        <f>SUM(H93:H94)</f>
        <v>88</v>
      </c>
      <c r="I95" s="874">
        <f>SUM(I93:I94)</f>
        <v>96.800000000000011</v>
      </c>
      <c r="J95" s="874">
        <f>SUM(J93:J94)</f>
        <v>106.48000000000002</v>
      </c>
      <c r="K95" s="139"/>
      <c r="L95" s="209"/>
      <c r="M95" s="209"/>
      <c r="N95" s="251"/>
    </row>
    <row r="96" spans="1:14" s="16" customFormat="1" ht="16.5" customHeight="1">
      <c r="A96" s="1172"/>
      <c r="B96" s="1172"/>
      <c r="C96" s="1496" t="s">
        <v>407</v>
      </c>
      <c r="D96" s="1496"/>
      <c r="E96" s="1497"/>
      <c r="F96" s="78" t="s">
        <v>171</v>
      </c>
      <c r="G96" s="216" t="s">
        <v>172</v>
      </c>
      <c r="H96" s="249">
        <f>46.8+6+124.3</f>
        <v>177.1</v>
      </c>
      <c r="I96" s="451">
        <f t="shared" ref="I96:J96" si="6">46.8+6+124.3</f>
        <v>177.1</v>
      </c>
      <c r="J96" s="451">
        <f t="shared" si="6"/>
        <v>177.1</v>
      </c>
      <c r="K96" s="195" t="s">
        <v>378</v>
      </c>
      <c r="L96" s="281">
        <v>151.80000000000001</v>
      </c>
      <c r="M96" s="281">
        <v>151.80000000000001</v>
      </c>
      <c r="N96" s="282">
        <v>151.80000000000001</v>
      </c>
    </row>
    <row r="97" spans="1:14" s="7" customFormat="1" ht="13.5" thickBot="1">
      <c r="A97" s="1172"/>
      <c r="B97" s="1172"/>
      <c r="C97" s="1496"/>
      <c r="D97" s="1496"/>
      <c r="E97" s="1497"/>
      <c r="F97" s="218"/>
      <c r="G97" s="217"/>
      <c r="H97" s="248"/>
      <c r="I97" s="248"/>
      <c r="J97" s="248"/>
      <c r="K97" s="66"/>
      <c r="L97" s="253"/>
      <c r="M97" s="253"/>
      <c r="N97" s="254"/>
    </row>
    <row r="98" spans="1:14" s="7" customFormat="1" ht="13.5" thickBot="1">
      <c r="A98" s="1172"/>
      <c r="B98" s="1172"/>
      <c r="C98" s="1185" t="s">
        <v>118</v>
      </c>
      <c r="D98" s="1305"/>
      <c r="E98" s="1305"/>
      <c r="F98" s="1305"/>
      <c r="G98" s="1453"/>
      <c r="H98" s="695">
        <f>SUM(H96:H97)</f>
        <v>177.1</v>
      </c>
      <c r="I98" s="973">
        <f>SUM(I96:I97)</f>
        <v>177.1</v>
      </c>
      <c r="J98" s="973">
        <f>SUM(J96:J97)</f>
        <v>177.1</v>
      </c>
      <c r="K98" s="139"/>
      <c r="L98" s="209"/>
      <c r="M98" s="209"/>
      <c r="N98" s="251"/>
    </row>
    <row r="99" spans="1:14" s="7" customFormat="1" ht="23.25" customHeight="1" thickBot="1">
      <c r="A99" s="1172"/>
      <c r="B99" s="1172"/>
      <c r="C99" s="1340" t="s">
        <v>411</v>
      </c>
      <c r="D99" s="1289"/>
      <c r="E99" s="1290"/>
      <c r="F99" s="523" t="s">
        <v>171</v>
      </c>
      <c r="G99" s="864" t="s">
        <v>121</v>
      </c>
      <c r="H99" s="857">
        <v>130</v>
      </c>
      <c r="I99" s="611">
        <v>100</v>
      </c>
      <c r="J99" s="611">
        <v>100</v>
      </c>
      <c r="K99" s="812" t="s">
        <v>412</v>
      </c>
      <c r="L99" s="472">
        <v>8</v>
      </c>
      <c r="M99" s="472">
        <v>8</v>
      </c>
      <c r="N99" s="997">
        <v>8</v>
      </c>
    </row>
    <row r="100" spans="1:14" s="16" customFormat="1" ht="13.5" thickBot="1">
      <c r="A100" s="1172"/>
      <c r="B100" s="1172"/>
      <c r="C100" s="1185" t="s">
        <v>118</v>
      </c>
      <c r="D100" s="1421"/>
      <c r="E100" s="1421"/>
      <c r="F100" s="1421"/>
      <c r="G100" s="1421"/>
      <c r="H100" s="708">
        <f>H99</f>
        <v>130</v>
      </c>
      <c r="I100" s="671">
        <f>I99</f>
        <v>100</v>
      </c>
      <c r="J100" s="671">
        <f>J99</f>
        <v>100</v>
      </c>
      <c r="K100" s="139"/>
      <c r="L100" s="209"/>
      <c r="M100" s="209"/>
      <c r="N100" s="251"/>
    </row>
    <row r="101" spans="1:14" s="7" customFormat="1" ht="47.25" customHeight="1" thickBot="1">
      <c r="A101" s="1172"/>
      <c r="B101" s="1172"/>
      <c r="C101" s="1396" t="s">
        <v>409</v>
      </c>
      <c r="D101" s="1419"/>
      <c r="E101" s="1420"/>
      <c r="F101" s="706" t="s">
        <v>171</v>
      </c>
      <c r="G101" s="522" t="s">
        <v>121</v>
      </c>
      <c r="H101" s="707">
        <v>10</v>
      </c>
      <c r="I101" s="707">
        <v>10</v>
      </c>
      <c r="J101" s="707">
        <v>10</v>
      </c>
      <c r="K101" s="370" t="s">
        <v>410</v>
      </c>
      <c r="L101" s="994">
        <v>8</v>
      </c>
      <c r="M101" s="994">
        <v>10</v>
      </c>
      <c r="N101" s="527">
        <v>10</v>
      </c>
    </row>
    <row r="102" spans="1:14" s="7" customFormat="1" ht="13.5" thickBot="1">
      <c r="A102" s="1172"/>
      <c r="B102" s="1172"/>
      <c r="C102" s="1153" t="s">
        <v>118</v>
      </c>
      <c r="D102" s="1421"/>
      <c r="E102" s="1421"/>
      <c r="F102" s="1421"/>
      <c r="G102" s="1422"/>
      <c r="H102" s="695">
        <f>SUM(H101:H101)</f>
        <v>10</v>
      </c>
      <c r="I102" s="973">
        <f>SUM(I101:I101)</f>
        <v>10</v>
      </c>
      <c r="J102" s="973">
        <f>SUM(J101:J101)</f>
        <v>10</v>
      </c>
      <c r="K102" s="437"/>
      <c r="L102" s="209"/>
      <c r="M102" s="209"/>
      <c r="N102" s="251"/>
    </row>
    <row r="103" spans="1:14" s="16" customFormat="1" ht="22.5">
      <c r="A103" s="1172"/>
      <c r="B103" s="1172"/>
      <c r="C103" s="1496" t="s">
        <v>680</v>
      </c>
      <c r="D103" s="1496"/>
      <c r="E103" s="1497"/>
      <c r="F103" s="378" t="s">
        <v>171</v>
      </c>
      <c r="G103" s="577" t="s">
        <v>121</v>
      </c>
      <c r="H103" s="1021">
        <v>0</v>
      </c>
      <c r="I103" s="1023">
        <v>7.5</v>
      </c>
      <c r="J103" s="573">
        <v>142.6</v>
      </c>
      <c r="K103" s="150" t="s">
        <v>681</v>
      </c>
      <c r="L103" s="509">
        <v>0</v>
      </c>
      <c r="M103" s="509">
        <v>0</v>
      </c>
      <c r="N103" s="517">
        <v>2</v>
      </c>
    </row>
    <row r="104" spans="1:14" s="7" customFormat="1" ht="32.25" customHeight="1" thickBot="1">
      <c r="A104" s="1172"/>
      <c r="B104" s="1172"/>
      <c r="C104" s="1770"/>
      <c r="D104" s="1770"/>
      <c r="E104" s="1771"/>
      <c r="F104" s="245" t="s">
        <v>171</v>
      </c>
      <c r="G104" s="160" t="s">
        <v>143</v>
      </c>
      <c r="H104" s="1022">
        <v>0</v>
      </c>
      <c r="I104" s="144">
        <v>50</v>
      </c>
      <c r="J104" s="144">
        <v>762.5</v>
      </c>
      <c r="K104" s="246" t="s">
        <v>596</v>
      </c>
      <c r="L104" s="459">
        <v>0</v>
      </c>
      <c r="M104" s="459">
        <v>10</v>
      </c>
      <c r="N104" s="460">
        <v>50</v>
      </c>
    </row>
    <row r="105" spans="1:14" s="7" customFormat="1" ht="13.5" thickBot="1">
      <c r="A105" s="1172"/>
      <c r="B105" s="1172"/>
      <c r="C105" s="1185" t="s">
        <v>118</v>
      </c>
      <c r="D105" s="1587"/>
      <c r="E105" s="1587"/>
      <c r="F105" s="1587"/>
      <c r="G105" s="1588"/>
      <c r="H105" s="695">
        <f>SUM(H103:H104)</f>
        <v>0</v>
      </c>
      <c r="I105" s="973">
        <f>SUM(I103:I104)</f>
        <v>57.5</v>
      </c>
      <c r="J105" s="973">
        <f>SUM(J103:J104)</f>
        <v>905.1</v>
      </c>
      <c r="K105" s="139"/>
      <c r="L105" s="209"/>
      <c r="M105" s="209"/>
      <c r="N105" s="251"/>
    </row>
    <row r="106" spans="1:14" s="7" customFormat="1" ht="26.25" customHeight="1">
      <c r="A106" s="1172"/>
      <c r="B106" s="1172"/>
      <c r="C106" s="1340" t="s">
        <v>677</v>
      </c>
      <c r="D106" s="1340"/>
      <c r="E106" s="1340"/>
      <c r="F106" s="831" t="s">
        <v>171</v>
      </c>
      <c r="G106" s="832" t="s">
        <v>121</v>
      </c>
      <c r="H106" s="964">
        <v>27.2</v>
      </c>
      <c r="I106" s="964">
        <v>0</v>
      </c>
      <c r="J106" s="569">
        <v>0</v>
      </c>
      <c r="K106" s="492" t="s">
        <v>678</v>
      </c>
      <c r="L106" s="965">
        <v>0.27500000000000002</v>
      </c>
      <c r="M106" s="966"/>
      <c r="N106" s="458"/>
    </row>
    <row r="107" spans="1:14" s="16" customFormat="1" ht="22.5">
      <c r="A107" s="1172"/>
      <c r="B107" s="1172"/>
      <c r="C107" s="1174"/>
      <c r="D107" s="1174"/>
      <c r="E107" s="1174"/>
      <c r="F107" s="967" t="s">
        <v>171</v>
      </c>
      <c r="G107" s="841" t="s">
        <v>143</v>
      </c>
      <c r="H107" s="843">
        <v>153.80000000000001</v>
      </c>
      <c r="I107" s="739">
        <v>0</v>
      </c>
      <c r="J107" s="739">
        <v>0</v>
      </c>
      <c r="K107" s="501" t="s">
        <v>679</v>
      </c>
      <c r="L107" s="596">
        <v>0.49</v>
      </c>
      <c r="M107" s="596"/>
      <c r="N107" s="764"/>
    </row>
    <row r="108" spans="1:14" s="16" customFormat="1" ht="25.5" customHeight="1" thickBot="1">
      <c r="A108" s="1172"/>
      <c r="B108" s="1172"/>
      <c r="C108" s="1174"/>
      <c r="D108" s="1174"/>
      <c r="E108" s="1174"/>
      <c r="F108" s="853" t="s">
        <v>171</v>
      </c>
      <c r="G108" s="864" t="s">
        <v>172</v>
      </c>
      <c r="H108" s="837">
        <v>20.8</v>
      </c>
      <c r="I108" s="604">
        <v>0</v>
      </c>
      <c r="J108" s="604">
        <v>0</v>
      </c>
      <c r="K108" s="413" t="s">
        <v>596</v>
      </c>
      <c r="L108" s="610">
        <v>100</v>
      </c>
      <c r="M108" s="610"/>
      <c r="N108" s="520"/>
    </row>
    <row r="109" spans="1:14" s="7" customFormat="1" ht="13.5" thickBot="1">
      <c r="A109" s="1172"/>
      <c r="B109" s="1172"/>
      <c r="C109" s="1185" t="s">
        <v>118</v>
      </c>
      <c r="D109" s="1305"/>
      <c r="E109" s="1305"/>
      <c r="F109" s="1305"/>
      <c r="G109" s="1305"/>
      <c r="H109" s="708">
        <f>SUM(H106:H108)</f>
        <v>201.8</v>
      </c>
      <c r="I109" s="671">
        <f>SUM(I106:I108)</f>
        <v>0</v>
      </c>
      <c r="J109" s="671">
        <f>SUM(J106:J108)</f>
        <v>0</v>
      </c>
      <c r="K109" s="437"/>
      <c r="L109" s="209"/>
      <c r="M109" s="209"/>
      <c r="N109" s="251"/>
    </row>
    <row r="110" spans="1:14" s="377" customFormat="1" ht="23.25" customHeight="1">
      <c r="A110" s="1172"/>
      <c r="B110" s="1172"/>
      <c r="C110" s="1340" t="s">
        <v>688</v>
      </c>
      <c r="D110" s="1340"/>
      <c r="E110" s="1341"/>
      <c r="F110" s="757" t="s">
        <v>171</v>
      </c>
      <c r="G110" s="832" t="s">
        <v>121</v>
      </c>
      <c r="H110" s="1112">
        <v>305.3</v>
      </c>
      <c r="I110" s="833">
        <v>0</v>
      </c>
      <c r="J110" s="569">
        <v>0</v>
      </c>
      <c r="K110" s="492" t="s">
        <v>690</v>
      </c>
      <c r="L110" s="461">
        <v>0</v>
      </c>
      <c r="M110" s="461">
        <v>528</v>
      </c>
      <c r="N110" s="462">
        <v>0</v>
      </c>
    </row>
    <row r="111" spans="1:14" s="436" customFormat="1" ht="26.25" customHeight="1" thickBot="1">
      <c r="A111" s="1172"/>
      <c r="B111" s="1172"/>
      <c r="C111" s="1437"/>
      <c r="D111" s="1437"/>
      <c r="E111" s="1438"/>
      <c r="F111" s="760" t="s">
        <v>171</v>
      </c>
      <c r="G111" s="498" t="s">
        <v>172</v>
      </c>
      <c r="H111" s="1113">
        <v>772</v>
      </c>
      <c r="I111" s="511">
        <v>372</v>
      </c>
      <c r="J111" s="511">
        <v>0</v>
      </c>
      <c r="K111" s="477" t="s">
        <v>596</v>
      </c>
      <c r="L111" s="459">
        <v>40</v>
      </c>
      <c r="M111" s="459">
        <v>100</v>
      </c>
      <c r="N111" s="463">
        <v>0</v>
      </c>
    </row>
    <row r="112" spans="1:14" s="436" customFormat="1" ht="13.5" thickBot="1">
      <c r="A112" s="1172"/>
      <c r="B112" s="1172"/>
      <c r="C112" s="1185" t="s">
        <v>118</v>
      </c>
      <c r="D112" s="1421"/>
      <c r="E112" s="1421"/>
      <c r="F112" s="1421"/>
      <c r="G112" s="1422"/>
      <c r="H112" s="695">
        <f>SUM(H110:H111)</f>
        <v>1077.3</v>
      </c>
      <c r="I112" s="973">
        <f>SUM(I110:I111)</f>
        <v>372</v>
      </c>
      <c r="J112" s="973">
        <f>SUM(J110:J111)</f>
        <v>0</v>
      </c>
      <c r="K112" s="437"/>
      <c r="L112" s="209"/>
      <c r="M112" s="209"/>
      <c r="N112" s="251"/>
    </row>
    <row r="113" spans="1:14" s="436" customFormat="1" ht="36" customHeight="1" thickBot="1">
      <c r="A113" s="1172"/>
      <c r="B113" s="1172"/>
      <c r="C113" s="1174" t="s">
        <v>689</v>
      </c>
      <c r="D113" s="1174"/>
      <c r="E113" s="1175"/>
      <c r="F113" s="523" t="s">
        <v>171</v>
      </c>
      <c r="G113" s="864" t="s">
        <v>121</v>
      </c>
      <c r="H113" s="837">
        <v>330</v>
      </c>
      <c r="I113" s="605">
        <v>0</v>
      </c>
      <c r="J113" s="605">
        <v>0</v>
      </c>
      <c r="K113" s="963" t="s">
        <v>339</v>
      </c>
      <c r="L113" s="467">
        <v>300</v>
      </c>
      <c r="M113" s="467"/>
      <c r="N113" s="520"/>
    </row>
    <row r="114" spans="1:14" s="16" customFormat="1" ht="13.5" thickBot="1">
      <c r="A114" s="1172"/>
      <c r="B114" s="1172"/>
      <c r="C114" s="1185" t="s">
        <v>118</v>
      </c>
      <c r="D114" s="1378"/>
      <c r="E114" s="1378"/>
      <c r="F114" s="1378"/>
      <c r="G114" s="1379"/>
      <c r="H114" s="873">
        <f>SUM(H113:H113)</f>
        <v>330</v>
      </c>
      <c r="I114" s="874">
        <f>SUM(I113:I113)</f>
        <v>0</v>
      </c>
      <c r="J114" s="874">
        <f>SUM(J113:J113)</f>
        <v>0</v>
      </c>
      <c r="K114" s="139"/>
      <c r="L114" s="209"/>
      <c r="M114" s="209"/>
      <c r="N114" s="251"/>
    </row>
    <row r="115" spans="1:14" s="193" customFormat="1" ht="28.5" customHeight="1" thickBot="1">
      <c r="A115" s="1172"/>
      <c r="B115" s="1172"/>
      <c r="C115" s="1396" t="s">
        <v>789</v>
      </c>
      <c r="D115" s="1396"/>
      <c r="E115" s="1397"/>
      <c r="F115" s="706" t="s">
        <v>171</v>
      </c>
      <c r="G115" s="522" t="s">
        <v>121</v>
      </c>
      <c r="H115" s="707">
        <v>1.7</v>
      </c>
      <c r="I115" s="1011">
        <f>H115*1.006</f>
        <v>1.7101999999999999</v>
      </c>
      <c r="J115" s="1011">
        <f>I115*1.006</f>
        <v>1.7204611999999999</v>
      </c>
      <c r="K115" s="525" t="s">
        <v>421</v>
      </c>
      <c r="L115" s="526">
        <v>1</v>
      </c>
      <c r="M115" s="526">
        <v>1</v>
      </c>
      <c r="N115" s="993">
        <v>1</v>
      </c>
    </row>
    <row r="116" spans="1:14" s="193" customFormat="1" ht="13.5" thickBot="1">
      <c r="A116" s="1172"/>
      <c r="B116" s="1172"/>
      <c r="C116" s="1423" t="s">
        <v>118</v>
      </c>
      <c r="D116" s="1319"/>
      <c r="E116" s="1319"/>
      <c r="F116" s="1319"/>
      <c r="G116" s="1530"/>
      <c r="H116" s="704">
        <f>H115</f>
        <v>1.7</v>
      </c>
      <c r="I116" s="721">
        <f>I115</f>
        <v>1.7101999999999999</v>
      </c>
      <c r="J116" s="721">
        <f>J115</f>
        <v>1.7204611999999999</v>
      </c>
      <c r="K116" s="340"/>
      <c r="L116" s="332"/>
      <c r="M116" s="332"/>
      <c r="N116" s="265"/>
    </row>
    <row r="117" spans="1:14" s="377" customFormat="1" ht="35.25" customHeight="1" thickBot="1">
      <c r="A117" s="1172"/>
      <c r="B117" s="1210"/>
      <c r="C117" s="1864" t="s">
        <v>790</v>
      </c>
      <c r="D117" s="1865"/>
      <c r="E117" s="1865"/>
      <c r="F117" s="521" t="s">
        <v>171</v>
      </c>
      <c r="G117" s="522" t="s">
        <v>121</v>
      </c>
      <c r="H117" s="707">
        <v>20</v>
      </c>
      <c r="I117" s="707">
        <v>20</v>
      </c>
      <c r="J117" s="707">
        <v>20</v>
      </c>
      <c r="K117" s="525" t="s">
        <v>791</v>
      </c>
      <c r="L117" s="526">
        <v>1</v>
      </c>
      <c r="M117" s="526">
        <v>1</v>
      </c>
      <c r="N117" s="527">
        <v>1</v>
      </c>
    </row>
    <row r="118" spans="1:14" s="377" customFormat="1" ht="13.5" thickBot="1">
      <c r="A118" s="1172"/>
      <c r="B118" s="1173"/>
      <c r="C118" s="1444" t="s">
        <v>118</v>
      </c>
      <c r="D118" s="1320"/>
      <c r="E118" s="1320"/>
      <c r="F118" s="1320"/>
      <c r="G118" s="1866"/>
      <c r="H118" s="715">
        <f>H117</f>
        <v>20</v>
      </c>
      <c r="I118" s="714">
        <f>I117</f>
        <v>20</v>
      </c>
      <c r="J118" s="714">
        <f>J117</f>
        <v>20</v>
      </c>
      <c r="K118" s="479"/>
      <c r="L118" s="454"/>
      <c r="M118" s="454"/>
      <c r="N118" s="255"/>
    </row>
    <row r="119" spans="1:14" s="7" customFormat="1" ht="13.5" thickBot="1">
      <c r="A119" s="1173"/>
      <c r="B119" s="1153" t="s">
        <v>119</v>
      </c>
      <c r="C119" s="1211"/>
      <c r="D119" s="1211"/>
      <c r="E119" s="1211"/>
      <c r="F119" s="1211"/>
      <c r="G119" s="1211"/>
      <c r="H119" s="766">
        <f>H74+H77+H80+H83+H86+H89+H92+H95+H98+H100+H102+H105+H109+H114+H116+H112+H118</f>
        <v>3029.5</v>
      </c>
      <c r="I119" s="767">
        <f t="shared" ref="I119:J119" si="7">I74+I77+I80+I83+I86+I89+I92+I95+I98+I100+I102+I105+I109+I114+I116+I112+I118</f>
        <v>1904.5326</v>
      </c>
      <c r="J119" s="767">
        <f t="shared" si="7"/>
        <v>2473.0862756000001</v>
      </c>
      <c r="K119" s="437"/>
      <c r="L119" s="209"/>
      <c r="M119" s="209"/>
      <c r="N119" s="251"/>
    </row>
    <row r="120" spans="1:14" s="7" customFormat="1" ht="13.5" thickBot="1">
      <c r="A120" s="1297" t="s">
        <v>303</v>
      </c>
      <c r="B120" s="1221"/>
      <c r="C120" s="1772"/>
      <c r="D120" s="1772"/>
      <c r="E120" s="1772"/>
      <c r="F120" s="1772"/>
      <c r="G120" s="1772"/>
      <c r="H120" s="995">
        <f>H71+H119</f>
        <v>6587.5</v>
      </c>
      <c r="I120" s="996">
        <f>I71+I119</f>
        <v>5949.7608</v>
      </c>
      <c r="J120" s="996">
        <f>J71+J119</f>
        <v>6150.4508447999997</v>
      </c>
      <c r="K120" s="157"/>
      <c r="L120" s="528"/>
      <c r="M120" s="528"/>
      <c r="N120" s="529"/>
    </row>
    <row r="121" spans="1:14" s="7" customFormat="1" ht="15" customHeight="1">
      <c r="A121" s="1214" t="s">
        <v>156</v>
      </c>
      <c r="B121" s="1785" t="s">
        <v>691</v>
      </c>
      <c r="C121" s="1309" t="s">
        <v>715</v>
      </c>
      <c r="D121" s="1310"/>
      <c r="E121" s="1310"/>
      <c r="F121" s="1233" t="s">
        <v>196</v>
      </c>
      <c r="G121" s="1149" t="s">
        <v>121</v>
      </c>
      <c r="H121" s="1151">
        <f>37+5.9+3.3+5.4</f>
        <v>51.599999999999994</v>
      </c>
      <c r="I121" s="1367">
        <v>0</v>
      </c>
      <c r="J121" s="1367">
        <v>0</v>
      </c>
      <c r="K121" s="803" t="s">
        <v>700</v>
      </c>
      <c r="L121" s="461">
        <v>1</v>
      </c>
      <c r="M121" s="480"/>
      <c r="N121" s="481"/>
    </row>
    <row r="122" spans="1:14" s="319" customFormat="1" ht="15.75" customHeight="1">
      <c r="A122" s="1533"/>
      <c r="B122" s="1783"/>
      <c r="C122" s="1349"/>
      <c r="D122" s="1169"/>
      <c r="E122" s="1169"/>
      <c r="F122" s="1764"/>
      <c r="G122" s="1766"/>
      <c r="H122" s="1755"/>
      <c r="I122" s="1181"/>
      <c r="J122" s="1181"/>
      <c r="K122" s="474" t="s">
        <v>702</v>
      </c>
      <c r="L122" s="475">
        <v>2</v>
      </c>
      <c r="M122" s="324"/>
      <c r="N122" s="976"/>
    </row>
    <row r="123" spans="1:14" s="319" customFormat="1" ht="17.25" customHeight="1">
      <c r="A123" s="1533"/>
      <c r="B123" s="1783"/>
      <c r="C123" s="1349"/>
      <c r="D123" s="1169"/>
      <c r="E123" s="1169"/>
      <c r="F123" s="1764"/>
      <c r="G123" s="1766"/>
      <c r="H123" s="1755"/>
      <c r="I123" s="1181"/>
      <c r="J123" s="1181"/>
      <c r="K123" s="474" t="s">
        <v>703</v>
      </c>
      <c r="L123" s="475">
        <v>120</v>
      </c>
      <c r="M123" s="324"/>
      <c r="N123" s="976"/>
    </row>
    <row r="124" spans="1:14" s="436" customFormat="1" ht="25.5" customHeight="1">
      <c r="A124" s="1533"/>
      <c r="B124" s="1783"/>
      <c r="C124" s="1349"/>
      <c r="D124" s="1169"/>
      <c r="E124" s="1169"/>
      <c r="F124" s="1764" t="s">
        <v>171</v>
      </c>
      <c r="G124" s="1766" t="s">
        <v>121</v>
      </c>
      <c r="H124" s="1768">
        <v>160</v>
      </c>
      <c r="I124" s="1642">
        <v>0</v>
      </c>
      <c r="J124" s="1642">
        <v>0</v>
      </c>
      <c r="K124" s="474" t="s">
        <v>725</v>
      </c>
      <c r="L124" s="475">
        <v>1</v>
      </c>
      <c r="M124" s="324"/>
      <c r="N124" s="976"/>
    </row>
    <row r="125" spans="1:14" s="436" customFormat="1" ht="16.5" customHeight="1" thickBot="1">
      <c r="A125" s="1533"/>
      <c r="B125" s="1783"/>
      <c r="C125" s="1311"/>
      <c r="D125" s="1312"/>
      <c r="E125" s="1312"/>
      <c r="F125" s="1765"/>
      <c r="G125" s="1767"/>
      <c r="H125" s="1769"/>
      <c r="I125" s="1181"/>
      <c r="J125" s="1181"/>
      <c r="K125" s="469" t="s">
        <v>704</v>
      </c>
      <c r="L125" s="470">
        <v>4</v>
      </c>
      <c r="M125" s="495"/>
      <c r="N125" s="496"/>
    </row>
    <row r="126" spans="1:14" s="319" customFormat="1" ht="13.5" thickBot="1">
      <c r="A126" s="1533"/>
      <c r="B126" s="1215"/>
      <c r="C126" s="1206" t="s">
        <v>118</v>
      </c>
      <c r="D126" s="1226"/>
      <c r="E126" s="1226"/>
      <c r="F126" s="1226"/>
      <c r="G126" s="1226"/>
      <c r="H126" s="704">
        <f>H121+H124</f>
        <v>211.6</v>
      </c>
      <c r="I126" s="705">
        <f t="shared" ref="I126:J126" si="8">I121+I124</f>
        <v>0</v>
      </c>
      <c r="J126" s="705">
        <f t="shared" si="8"/>
        <v>0</v>
      </c>
      <c r="K126" s="340"/>
      <c r="L126" s="453"/>
      <c r="M126" s="453"/>
      <c r="N126" s="265"/>
    </row>
    <row r="127" spans="1:14" s="436" customFormat="1" ht="13.5" customHeight="1">
      <c r="A127" s="1215"/>
      <c r="B127" s="1783"/>
      <c r="C127" s="1309" t="s">
        <v>714</v>
      </c>
      <c r="D127" s="1310"/>
      <c r="E127" s="1310"/>
      <c r="F127" s="1233" t="s">
        <v>175</v>
      </c>
      <c r="G127" s="1149" t="s">
        <v>121</v>
      </c>
      <c r="H127" s="1151">
        <f>58+30+5.1</f>
        <v>93.1</v>
      </c>
      <c r="I127" s="1367">
        <v>0</v>
      </c>
      <c r="J127" s="1367">
        <v>0</v>
      </c>
      <c r="K127" s="803" t="s">
        <v>700</v>
      </c>
      <c r="L127" s="461">
        <v>1</v>
      </c>
      <c r="M127" s="480"/>
      <c r="N127" s="481"/>
    </row>
    <row r="128" spans="1:14" s="436" customFormat="1" ht="15.75" customHeight="1">
      <c r="A128" s="1215"/>
      <c r="B128" s="1783"/>
      <c r="C128" s="1349"/>
      <c r="D128" s="1169"/>
      <c r="E128" s="1169"/>
      <c r="F128" s="1764"/>
      <c r="G128" s="1766"/>
      <c r="H128" s="1755"/>
      <c r="I128" s="1353"/>
      <c r="J128" s="1353"/>
      <c r="K128" s="474" t="s">
        <v>706</v>
      </c>
      <c r="L128" s="475">
        <v>1</v>
      </c>
      <c r="M128" s="324"/>
      <c r="N128" s="976"/>
    </row>
    <row r="129" spans="1:14" s="436" customFormat="1" ht="24.75" customHeight="1">
      <c r="A129" s="1215"/>
      <c r="B129" s="1783"/>
      <c r="C129" s="1349"/>
      <c r="D129" s="1169"/>
      <c r="E129" s="1169"/>
      <c r="F129" s="1764"/>
      <c r="G129" s="1766"/>
      <c r="H129" s="1755"/>
      <c r="I129" s="1353"/>
      <c r="J129" s="1353"/>
      <c r="K129" s="474" t="s">
        <v>705</v>
      </c>
      <c r="L129" s="475">
        <v>500</v>
      </c>
      <c r="M129" s="324"/>
      <c r="N129" s="976"/>
    </row>
    <row r="130" spans="1:14" s="436" customFormat="1" ht="24.75" customHeight="1">
      <c r="A130" s="1215"/>
      <c r="B130" s="1783"/>
      <c r="C130" s="1349"/>
      <c r="D130" s="1169"/>
      <c r="E130" s="1169"/>
      <c r="F130" s="1764" t="s">
        <v>171</v>
      </c>
      <c r="G130" s="1766" t="s">
        <v>121</v>
      </c>
      <c r="H130" s="1755">
        <v>173.2</v>
      </c>
      <c r="I130" s="1642">
        <v>0</v>
      </c>
      <c r="J130" s="1642">
        <v>0</v>
      </c>
      <c r="K130" s="474" t="s">
        <v>725</v>
      </c>
      <c r="L130" s="475">
        <v>1</v>
      </c>
      <c r="M130" s="324"/>
      <c r="N130" s="976"/>
    </row>
    <row r="131" spans="1:14" s="436" customFormat="1" ht="14.25" customHeight="1" thickBot="1">
      <c r="A131" s="1215"/>
      <c r="B131" s="1783"/>
      <c r="C131" s="1311"/>
      <c r="D131" s="1312"/>
      <c r="E131" s="1312"/>
      <c r="F131" s="1765"/>
      <c r="G131" s="1767"/>
      <c r="H131" s="1756"/>
      <c r="I131" s="1353"/>
      <c r="J131" s="1353"/>
      <c r="K131" s="469" t="s">
        <v>704</v>
      </c>
      <c r="L131" s="470">
        <v>4</v>
      </c>
      <c r="M131" s="495"/>
      <c r="N131" s="496"/>
    </row>
    <row r="132" spans="1:14" s="436" customFormat="1" ht="13.5" thickBot="1">
      <c r="A132" s="1215"/>
      <c r="B132" s="1215"/>
      <c r="C132" s="1223" t="s">
        <v>118</v>
      </c>
      <c r="D132" s="1320"/>
      <c r="E132" s="1320"/>
      <c r="F132" s="1320"/>
      <c r="G132" s="1320"/>
      <c r="H132" s="708">
        <f>H127+H130</f>
        <v>266.29999999999995</v>
      </c>
      <c r="I132" s="671">
        <f t="shared" ref="I132:J132" si="9">I127+I130</f>
        <v>0</v>
      </c>
      <c r="J132" s="671">
        <f t="shared" si="9"/>
        <v>0</v>
      </c>
      <c r="K132" s="339"/>
      <c r="L132" s="258"/>
      <c r="M132" s="258"/>
      <c r="N132" s="251"/>
    </row>
    <row r="133" spans="1:14" s="436" customFormat="1" ht="19.5" customHeight="1">
      <c r="A133" s="1215"/>
      <c r="B133" s="1215"/>
      <c r="C133" s="1165" t="s">
        <v>713</v>
      </c>
      <c r="D133" s="1166"/>
      <c r="E133" s="1167"/>
      <c r="F133" s="1161" t="s">
        <v>195</v>
      </c>
      <c r="G133" s="1197" t="s">
        <v>121</v>
      </c>
      <c r="H133" s="1739">
        <f>55+12+5.8</f>
        <v>72.8</v>
      </c>
      <c r="I133" s="1567">
        <v>0</v>
      </c>
      <c r="J133" s="1567">
        <v>0</v>
      </c>
      <c r="K133" s="497" t="s">
        <v>707</v>
      </c>
      <c r="L133" s="467">
        <v>207</v>
      </c>
      <c r="M133" s="490"/>
      <c r="N133" s="491"/>
    </row>
    <row r="134" spans="1:14" s="436" customFormat="1" ht="22.5">
      <c r="A134" s="1215"/>
      <c r="B134" s="1215"/>
      <c r="C134" s="1299"/>
      <c r="D134" s="1322"/>
      <c r="E134" s="1323"/>
      <c r="F134" s="1737"/>
      <c r="G134" s="1738"/>
      <c r="H134" s="1739"/>
      <c r="I134" s="1567"/>
      <c r="J134" s="1567"/>
      <c r="K134" s="474" t="s">
        <v>725</v>
      </c>
      <c r="L134" s="475">
        <v>1</v>
      </c>
      <c r="M134" s="484"/>
      <c r="N134" s="485"/>
    </row>
    <row r="135" spans="1:14" s="436" customFormat="1" ht="13.5" thickBot="1">
      <c r="A135" s="1215"/>
      <c r="B135" s="1215"/>
      <c r="C135" s="1779"/>
      <c r="D135" s="1780"/>
      <c r="E135" s="1781"/>
      <c r="F135" s="1743"/>
      <c r="G135" s="1519"/>
      <c r="H135" s="1388"/>
      <c r="I135" s="1229"/>
      <c r="J135" s="1229"/>
      <c r="K135" s="469" t="s">
        <v>704</v>
      </c>
      <c r="L135" s="470">
        <v>4</v>
      </c>
      <c r="M135" s="495"/>
      <c r="N135" s="496"/>
    </row>
    <row r="136" spans="1:14" s="436" customFormat="1" ht="13.5" thickBot="1">
      <c r="A136" s="1215"/>
      <c r="B136" s="1215"/>
      <c r="C136" s="1153" t="s">
        <v>118</v>
      </c>
      <c r="D136" s="1372"/>
      <c r="E136" s="1372"/>
      <c r="F136" s="1372"/>
      <c r="G136" s="1372"/>
      <c r="H136" s="708">
        <f>H133</f>
        <v>72.8</v>
      </c>
      <c r="I136" s="708">
        <f t="shared" ref="I136:J136" si="10">I133</f>
        <v>0</v>
      </c>
      <c r="J136" s="708">
        <f t="shared" si="10"/>
        <v>0</v>
      </c>
      <c r="K136" s="339"/>
      <c r="L136" s="258"/>
      <c r="M136" s="258"/>
      <c r="N136" s="251"/>
    </row>
    <row r="137" spans="1:14" s="436" customFormat="1" ht="35.25" customHeight="1" thickBot="1">
      <c r="A137" s="1215"/>
      <c r="B137" s="1215"/>
      <c r="C137" s="1165" t="s">
        <v>712</v>
      </c>
      <c r="D137" s="1166"/>
      <c r="E137" s="1167"/>
      <c r="F137" s="834" t="s">
        <v>176</v>
      </c>
      <c r="G137" s="842" t="s">
        <v>121</v>
      </c>
      <c r="H137" s="838">
        <v>80</v>
      </c>
      <c r="I137" s="589">
        <v>0</v>
      </c>
      <c r="J137" s="589">
        <v>0</v>
      </c>
      <c r="K137" s="469" t="s">
        <v>704</v>
      </c>
      <c r="L137" s="470">
        <v>6</v>
      </c>
      <c r="M137" s="480"/>
      <c r="N137" s="481"/>
    </row>
    <row r="138" spans="1:14" s="436" customFormat="1" ht="13.5" thickBot="1">
      <c r="A138" s="1215"/>
      <c r="B138" s="1215"/>
      <c r="C138" s="1159" t="s">
        <v>118</v>
      </c>
      <c r="D138" s="1763"/>
      <c r="E138" s="1763"/>
      <c r="F138" s="1763"/>
      <c r="G138" s="1763"/>
      <c r="H138" s="704">
        <f>H137</f>
        <v>80</v>
      </c>
      <c r="I138" s="704">
        <f t="shared" ref="I138:J138" si="11">I137</f>
        <v>0</v>
      </c>
      <c r="J138" s="704">
        <f t="shared" si="11"/>
        <v>0</v>
      </c>
      <c r="K138" s="340"/>
      <c r="L138" s="453"/>
      <c r="M138" s="453"/>
      <c r="N138" s="265"/>
    </row>
    <row r="139" spans="1:14" s="436" customFormat="1" ht="24.75" customHeight="1">
      <c r="A139" s="1215"/>
      <c r="B139" s="1783"/>
      <c r="C139" s="1309" t="s">
        <v>711</v>
      </c>
      <c r="D139" s="1310"/>
      <c r="E139" s="1310"/>
      <c r="F139" s="1233" t="s">
        <v>177</v>
      </c>
      <c r="G139" s="1149" t="s">
        <v>121</v>
      </c>
      <c r="H139" s="1151">
        <f>15+4.3</f>
        <v>19.3</v>
      </c>
      <c r="I139" s="1367">
        <v>0</v>
      </c>
      <c r="J139" s="1367">
        <v>0</v>
      </c>
      <c r="K139" s="803" t="s">
        <v>704</v>
      </c>
      <c r="L139" s="461">
        <v>2</v>
      </c>
      <c r="M139" s="480"/>
      <c r="N139" s="481"/>
    </row>
    <row r="140" spans="1:14" s="436" customFormat="1" ht="24.75" customHeight="1" thickBot="1">
      <c r="A140" s="1215"/>
      <c r="B140" s="1783"/>
      <c r="C140" s="1311"/>
      <c r="D140" s="1312"/>
      <c r="E140" s="1312"/>
      <c r="F140" s="1361"/>
      <c r="G140" s="1362"/>
      <c r="H140" s="1152"/>
      <c r="I140" s="1354"/>
      <c r="J140" s="1354"/>
      <c r="K140" s="477" t="s">
        <v>725</v>
      </c>
      <c r="L140" s="478">
        <v>1</v>
      </c>
      <c r="M140" s="482"/>
      <c r="N140" s="483"/>
    </row>
    <row r="141" spans="1:14" s="436" customFormat="1" ht="13.5" thickBot="1">
      <c r="A141" s="1215"/>
      <c r="B141" s="1215"/>
      <c r="C141" s="1223" t="s">
        <v>118</v>
      </c>
      <c r="D141" s="1751"/>
      <c r="E141" s="1751"/>
      <c r="F141" s="1751"/>
      <c r="G141" s="1751"/>
      <c r="H141" s="634">
        <f>H139</f>
        <v>19.3</v>
      </c>
      <c r="I141" s="635">
        <f>I139</f>
        <v>0</v>
      </c>
      <c r="J141" s="635">
        <f>J139</f>
        <v>0</v>
      </c>
      <c r="K141" s="473"/>
      <c r="L141" s="266"/>
      <c r="M141" s="266"/>
      <c r="N141" s="257"/>
    </row>
    <row r="142" spans="1:14" s="436" customFormat="1" ht="39.75" customHeight="1" thickBot="1">
      <c r="A142" s="1215"/>
      <c r="B142" s="1215"/>
      <c r="C142" s="1165" t="s">
        <v>710</v>
      </c>
      <c r="D142" s="1166"/>
      <c r="E142" s="1167"/>
      <c r="F142" s="834" t="s">
        <v>197</v>
      </c>
      <c r="G142" s="842" t="s">
        <v>121</v>
      </c>
      <c r="H142" s="838">
        <v>15</v>
      </c>
      <c r="I142" s="589">
        <v>0</v>
      </c>
      <c r="J142" s="589">
        <v>0</v>
      </c>
      <c r="K142" s="469" t="s">
        <v>708</v>
      </c>
      <c r="L142" s="470">
        <v>220</v>
      </c>
      <c r="M142" s="480"/>
      <c r="N142" s="481"/>
    </row>
    <row r="143" spans="1:14" s="436" customFormat="1" ht="13.5" thickBot="1">
      <c r="A143" s="1215"/>
      <c r="B143" s="1215"/>
      <c r="C143" s="1159" t="s">
        <v>118</v>
      </c>
      <c r="D143" s="1763"/>
      <c r="E143" s="1763"/>
      <c r="F143" s="1763"/>
      <c r="G143" s="1763"/>
      <c r="H143" s="704">
        <f>H142</f>
        <v>15</v>
      </c>
      <c r="I143" s="705">
        <f>I142</f>
        <v>0</v>
      </c>
      <c r="J143" s="705">
        <f>J142</f>
        <v>0</v>
      </c>
      <c r="K143" s="340"/>
      <c r="L143" s="453"/>
      <c r="M143" s="453"/>
      <c r="N143" s="265"/>
    </row>
    <row r="144" spans="1:14" s="436" customFormat="1" ht="27" customHeight="1">
      <c r="A144" s="1215"/>
      <c r="B144" s="1783"/>
      <c r="C144" s="1309" t="s">
        <v>709</v>
      </c>
      <c r="D144" s="1310"/>
      <c r="E144" s="1310"/>
      <c r="F144" s="1233" t="s">
        <v>194</v>
      </c>
      <c r="G144" s="1149" t="s">
        <v>121</v>
      </c>
      <c r="H144" s="1151">
        <f>13.8+2.2+5.4</f>
        <v>21.4</v>
      </c>
      <c r="I144" s="1367">
        <v>0</v>
      </c>
      <c r="J144" s="1367">
        <v>0</v>
      </c>
      <c r="K144" s="803" t="s">
        <v>708</v>
      </c>
      <c r="L144" s="461">
        <v>265</v>
      </c>
      <c r="M144" s="480"/>
      <c r="N144" s="481"/>
    </row>
    <row r="145" spans="1:14" s="436" customFormat="1" ht="24" customHeight="1">
      <c r="A145" s="1215"/>
      <c r="B145" s="1783"/>
      <c r="C145" s="1752"/>
      <c r="D145" s="1753"/>
      <c r="E145" s="1753"/>
      <c r="F145" s="1737"/>
      <c r="G145" s="1738"/>
      <c r="H145" s="1739"/>
      <c r="I145" s="1567"/>
      <c r="J145" s="1567"/>
      <c r="K145" s="474" t="s">
        <v>725</v>
      </c>
      <c r="L145" s="475">
        <v>1</v>
      </c>
      <c r="M145" s="484"/>
      <c r="N145" s="485"/>
    </row>
    <row r="146" spans="1:14" s="436" customFormat="1" ht="17.25" customHeight="1" thickBot="1">
      <c r="A146" s="1215"/>
      <c r="B146" s="1783"/>
      <c r="C146" s="1311"/>
      <c r="D146" s="1312"/>
      <c r="E146" s="1312"/>
      <c r="F146" s="1361"/>
      <c r="G146" s="1362"/>
      <c r="H146" s="1152"/>
      <c r="I146" s="1354"/>
      <c r="J146" s="1354"/>
      <c r="K146" s="477" t="s">
        <v>727</v>
      </c>
      <c r="L146" s="478">
        <v>5</v>
      </c>
      <c r="M146" s="482"/>
      <c r="N146" s="483"/>
    </row>
    <row r="147" spans="1:14" s="436" customFormat="1" ht="13.5" thickBot="1">
      <c r="A147" s="1215"/>
      <c r="B147" s="1215"/>
      <c r="C147" s="1206" t="s">
        <v>118</v>
      </c>
      <c r="D147" s="1226"/>
      <c r="E147" s="1226"/>
      <c r="F147" s="1226"/>
      <c r="G147" s="1226"/>
      <c r="H147" s="715">
        <f>H144</f>
        <v>21.4</v>
      </c>
      <c r="I147" s="716">
        <f>I144</f>
        <v>0</v>
      </c>
      <c r="J147" s="716">
        <f>J144</f>
        <v>0</v>
      </c>
      <c r="K147" s="479"/>
      <c r="L147" s="454"/>
      <c r="M147" s="454"/>
      <c r="N147" s="255"/>
    </row>
    <row r="148" spans="1:14" s="436" customFormat="1" ht="29.25" customHeight="1">
      <c r="A148" s="1215"/>
      <c r="B148" s="1783"/>
      <c r="C148" s="1309" t="s">
        <v>716</v>
      </c>
      <c r="D148" s="1310"/>
      <c r="E148" s="1310"/>
      <c r="F148" s="499" t="s">
        <v>201</v>
      </c>
      <c r="G148" s="832" t="s">
        <v>121</v>
      </c>
      <c r="H148" s="833">
        <f>13.2</f>
        <v>13.2</v>
      </c>
      <c r="I148" s="854">
        <v>0</v>
      </c>
      <c r="J148" s="854">
        <v>0</v>
      </c>
      <c r="K148" s="803" t="s">
        <v>717</v>
      </c>
      <c r="L148" s="461">
        <v>99</v>
      </c>
      <c r="M148" s="480"/>
      <c r="N148" s="481"/>
    </row>
    <row r="149" spans="1:14" s="436" customFormat="1" ht="27" customHeight="1" thickBot="1">
      <c r="A149" s="1215"/>
      <c r="B149" s="1783"/>
      <c r="C149" s="1311"/>
      <c r="D149" s="1312"/>
      <c r="E149" s="1312"/>
      <c r="F149" s="247" t="s">
        <v>171</v>
      </c>
      <c r="G149" s="498" t="s">
        <v>121</v>
      </c>
      <c r="H149" s="982">
        <v>200</v>
      </c>
      <c r="I149" s="859">
        <v>0</v>
      </c>
      <c r="J149" s="859">
        <v>0</v>
      </c>
      <c r="K149" s="477" t="s">
        <v>718</v>
      </c>
      <c r="L149" s="478">
        <v>1</v>
      </c>
      <c r="M149" s="482"/>
      <c r="N149" s="483"/>
    </row>
    <row r="150" spans="1:14" s="436" customFormat="1" ht="13.5" thickBot="1">
      <c r="A150" s="1215"/>
      <c r="B150" s="1215"/>
      <c r="C150" s="1223" t="s">
        <v>118</v>
      </c>
      <c r="D150" s="1479"/>
      <c r="E150" s="1479"/>
      <c r="F150" s="1479"/>
      <c r="G150" s="1479"/>
      <c r="H150" s="634">
        <f>H148+H149</f>
        <v>213.2</v>
      </c>
      <c r="I150" s="635">
        <f t="shared" ref="I150:J150" si="12">I148+I149</f>
        <v>0</v>
      </c>
      <c r="J150" s="635">
        <f t="shared" si="12"/>
        <v>0</v>
      </c>
      <c r="K150" s="473"/>
      <c r="L150" s="266"/>
      <c r="M150" s="266"/>
      <c r="N150" s="257"/>
    </row>
    <row r="151" spans="1:14" s="436" customFormat="1" ht="19.5" customHeight="1">
      <c r="A151" s="1215"/>
      <c r="B151" s="1215"/>
      <c r="C151" s="1309" t="s">
        <v>721</v>
      </c>
      <c r="D151" s="1310"/>
      <c r="E151" s="1310"/>
      <c r="F151" s="1749" t="s">
        <v>200</v>
      </c>
      <c r="G151" s="1149" t="s">
        <v>121</v>
      </c>
      <c r="H151" s="1331">
        <f>4+38</f>
        <v>42</v>
      </c>
      <c r="I151" s="1642">
        <v>0</v>
      </c>
      <c r="J151" s="1642">
        <v>0</v>
      </c>
      <c r="K151" s="497" t="s">
        <v>719</v>
      </c>
      <c r="L151" s="467">
        <v>5</v>
      </c>
      <c r="M151" s="490"/>
      <c r="N151" s="491"/>
    </row>
    <row r="152" spans="1:14" s="436" customFormat="1" ht="19.5" customHeight="1" thickBot="1">
      <c r="A152" s="1215"/>
      <c r="B152" s="1215"/>
      <c r="C152" s="1311"/>
      <c r="D152" s="1312"/>
      <c r="E152" s="1312"/>
      <c r="F152" s="1750"/>
      <c r="G152" s="1362"/>
      <c r="H152" s="1152"/>
      <c r="I152" s="1354"/>
      <c r="J152" s="1354"/>
      <c r="K152" s="477" t="s">
        <v>720</v>
      </c>
      <c r="L152" s="478">
        <v>400</v>
      </c>
      <c r="M152" s="482"/>
      <c r="N152" s="483"/>
    </row>
    <row r="153" spans="1:14" s="436" customFormat="1" ht="13.5" thickBot="1">
      <c r="A153" s="1215"/>
      <c r="B153" s="1215"/>
      <c r="C153" s="1223" t="s">
        <v>118</v>
      </c>
      <c r="D153" s="1751"/>
      <c r="E153" s="1751"/>
      <c r="F153" s="1751"/>
      <c r="G153" s="1751"/>
      <c r="H153" s="634">
        <f>H151</f>
        <v>42</v>
      </c>
      <c r="I153" s="635">
        <f>I151</f>
        <v>0</v>
      </c>
      <c r="J153" s="635">
        <f>J151</f>
        <v>0</v>
      </c>
      <c r="K153" s="473"/>
      <c r="L153" s="266"/>
      <c r="M153" s="266"/>
      <c r="N153" s="257"/>
    </row>
    <row r="154" spans="1:14" s="436" customFormat="1" ht="22.5">
      <c r="A154" s="1215"/>
      <c r="B154" s="1215"/>
      <c r="C154" s="1309" t="s">
        <v>722</v>
      </c>
      <c r="D154" s="1310"/>
      <c r="E154" s="1310"/>
      <c r="F154" s="1749" t="s">
        <v>244</v>
      </c>
      <c r="G154" s="1197" t="s">
        <v>121</v>
      </c>
      <c r="H154" s="1199">
        <f>4+4.9</f>
        <v>8.9</v>
      </c>
      <c r="I154" s="1374">
        <v>0</v>
      </c>
      <c r="J154" s="1374">
        <v>0</v>
      </c>
      <c r="K154" s="803" t="s">
        <v>723</v>
      </c>
      <c r="L154" s="461">
        <v>1</v>
      </c>
      <c r="M154" s="480"/>
      <c r="N154" s="481"/>
    </row>
    <row r="155" spans="1:14" s="436" customFormat="1" ht="22.5">
      <c r="A155" s="1215"/>
      <c r="B155" s="1215"/>
      <c r="C155" s="1752"/>
      <c r="D155" s="1753"/>
      <c r="E155" s="1753"/>
      <c r="F155" s="1857"/>
      <c r="G155" s="1782"/>
      <c r="H155" s="1754"/>
      <c r="I155" s="1386"/>
      <c r="J155" s="1386"/>
      <c r="K155" s="474" t="s">
        <v>725</v>
      </c>
      <c r="L155" s="475">
        <v>1</v>
      </c>
      <c r="M155" s="484"/>
      <c r="N155" s="485"/>
    </row>
    <row r="156" spans="1:14" s="436" customFormat="1" ht="13.5" thickBot="1">
      <c r="A156" s="1215"/>
      <c r="B156" s="1215"/>
      <c r="C156" s="1311"/>
      <c r="D156" s="1312"/>
      <c r="E156" s="1312"/>
      <c r="F156" s="1114" t="s">
        <v>171</v>
      </c>
      <c r="G156" s="1101" t="s">
        <v>121</v>
      </c>
      <c r="H156" s="773">
        <v>200</v>
      </c>
      <c r="I156" s="1049">
        <v>0</v>
      </c>
      <c r="J156" s="1049">
        <v>0</v>
      </c>
      <c r="K156" s="469" t="s">
        <v>724</v>
      </c>
      <c r="L156" s="470">
        <v>1</v>
      </c>
      <c r="M156" s="495"/>
      <c r="N156" s="496"/>
    </row>
    <row r="157" spans="1:14" s="436" customFormat="1" ht="13.5" thickBot="1">
      <c r="A157" s="1215"/>
      <c r="B157" s="1215"/>
      <c r="C157" s="1206" t="s">
        <v>118</v>
      </c>
      <c r="D157" s="1498"/>
      <c r="E157" s="1498"/>
      <c r="F157" s="1498"/>
      <c r="G157" s="1498"/>
      <c r="H157" s="708">
        <f>H154+H156</f>
        <v>208.9</v>
      </c>
      <c r="I157" s="671">
        <f t="shared" ref="I157:J157" si="13">I154+I156</f>
        <v>0</v>
      </c>
      <c r="J157" s="671">
        <f t="shared" si="13"/>
        <v>0</v>
      </c>
      <c r="K157" s="339"/>
      <c r="L157" s="258"/>
      <c r="M157" s="258"/>
      <c r="N157" s="251"/>
    </row>
    <row r="158" spans="1:14" s="436" customFormat="1" ht="29.25" customHeight="1" thickBot="1">
      <c r="A158" s="1215"/>
      <c r="B158" s="1215"/>
      <c r="C158" s="1747" t="s">
        <v>728</v>
      </c>
      <c r="D158" s="1748"/>
      <c r="E158" s="1748"/>
      <c r="F158" s="858" t="s">
        <v>243</v>
      </c>
      <c r="G158" s="842" t="s">
        <v>121</v>
      </c>
      <c r="H158" s="857">
        <v>9.5</v>
      </c>
      <c r="I158" s="590">
        <v>0</v>
      </c>
      <c r="J158" s="590">
        <v>0</v>
      </c>
      <c r="K158" s="471" t="s">
        <v>725</v>
      </c>
      <c r="L158" s="472">
        <v>1</v>
      </c>
      <c r="M158" s="484"/>
      <c r="N158" s="485"/>
    </row>
    <row r="159" spans="1:14" s="436" customFormat="1" ht="13.5" thickBot="1">
      <c r="A159" s="1215"/>
      <c r="B159" s="1215"/>
      <c r="C159" s="1153" t="s">
        <v>118</v>
      </c>
      <c r="D159" s="1372"/>
      <c r="E159" s="1372"/>
      <c r="F159" s="1372"/>
      <c r="G159" s="1372"/>
      <c r="H159" s="708">
        <f>H158</f>
        <v>9.5</v>
      </c>
      <c r="I159" s="671">
        <f>I158</f>
        <v>0</v>
      </c>
      <c r="J159" s="671">
        <f>J158</f>
        <v>0</v>
      </c>
      <c r="K159" s="339"/>
      <c r="L159" s="258"/>
      <c r="M159" s="258"/>
      <c r="N159" s="251"/>
    </row>
    <row r="160" spans="1:14" s="436" customFormat="1" ht="29.25" customHeight="1" thickBot="1">
      <c r="A160" s="1215"/>
      <c r="B160" s="1215"/>
      <c r="C160" s="1747" t="s">
        <v>729</v>
      </c>
      <c r="D160" s="1748"/>
      <c r="E160" s="1748"/>
      <c r="F160" s="858" t="s">
        <v>218</v>
      </c>
      <c r="G160" s="842" t="s">
        <v>121</v>
      </c>
      <c r="H160" s="838">
        <v>14</v>
      </c>
      <c r="I160" s="589">
        <v>0</v>
      </c>
      <c r="J160" s="589">
        <v>0</v>
      </c>
      <c r="K160" s="486" t="s">
        <v>726</v>
      </c>
      <c r="L160" s="487">
        <v>14</v>
      </c>
      <c r="M160" s="488"/>
      <c r="N160" s="489"/>
    </row>
    <row r="161" spans="1:14" s="436" customFormat="1" ht="13.5" thickBot="1">
      <c r="A161" s="1215"/>
      <c r="B161" s="1215"/>
      <c r="C161" s="1153" t="s">
        <v>118</v>
      </c>
      <c r="D161" s="1372"/>
      <c r="E161" s="1372"/>
      <c r="F161" s="1372"/>
      <c r="G161" s="1372"/>
      <c r="H161" s="708">
        <f>H160</f>
        <v>14</v>
      </c>
      <c r="I161" s="671">
        <f>I160</f>
        <v>0</v>
      </c>
      <c r="J161" s="671">
        <f>J160</f>
        <v>0</v>
      </c>
      <c r="K161" s="339"/>
      <c r="L161" s="258"/>
      <c r="M161" s="258"/>
      <c r="N161" s="251"/>
    </row>
    <row r="162" spans="1:14" s="436" customFormat="1" ht="19.5" customHeight="1">
      <c r="A162" s="1215"/>
      <c r="B162" s="1215"/>
      <c r="C162" s="1309" t="s">
        <v>730</v>
      </c>
      <c r="D162" s="1310"/>
      <c r="E162" s="1310"/>
      <c r="F162" s="1749" t="s">
        <v>204</v>
      </c>
      <c r="G162" s="1149" t="s">
        <v>121</v>
      </c>
      <c r="H162" s="1151">
        <f>12+1.5</f>
        <v>13.5</v>
      </c>
      <c r="I162" s="1367">
        <v>0</v>
      </c>
      <c r="J162" s="1367">
        <v>0</v>
      </c>
      <c r="K162" s="469" t="s">
        <v>704</v>
      </c>
      <c r="L162" s="470">
        <v>1</v>
      </c>
      <c r="M162" s="480"/>
      <c r="N162" s="481"/>
    </row>
    <row r="163" spans="1:14" s="436" customFormat="1" ht="27" customHeight="1" thickBot="1">
      <c r="A163" s="1215"/>
      <c r="B163" s="1215"/>
      <c r="C163" s="1311"/>
      <c r="D163" s="1312"/>
      <c r="E163" s="1312"/>
      <c r="F163" s="1750"/>
      <c r="G163" s="1362"/>
      <c r="H163" s="1152"/>
      <c r="I163" s="1354"/>
      <c r="J163" s="1354"/>
      <c r="K163" s="477" t="s">
        <v>727</v>
      </c>
      <c r="L163" s="478">
        <v>5</v>
      </c>
      <c r="M163" s="482"/>
      <c r="N163" s="483"/>
    </row>
    <row r="164" spans="1:14" s="436" customFormat="1" ht="13.5" thickBot="1">
      <c r="A164" s="1215"/>
      <c r="B164" s="1215"/>
      <c r="C164" s="1153" t="s">
        <v>118</v>
      </c>
      <c r="D164" s="1211"/>
      <c r="E164" s="1211"/>
      <c r="F164" s="1211"/>
      <c r="G164" s="1211"/>
      <c r="H164" s="708">
        <f>H162</f>
        <v>13.5</v>
      </c>
      <c r="I164" s="671">
        <f>I162</f>
        <v>0</v>
      </c>
      <c r="J164" s="671">
        <f>J162</f>
        <v>0</v>
      </c>
      <c r="K164" s="339"/>
      <c r="L164" s="258"/>
      <c r="M164" s="258"/>
      <c r="N164" s="251"/>
    </row>
    <row r="165" spans="1:14" s="436" customFormat="1" ht="33" customHeight="1" thickBot="1">
      <c r="A165" s="1215"/>
      <c r="B165" s="1215"/>
      <c r="C165" s="1309" t="s">
        <v>731</v>
      </c>
      <c r="D165" s="1310"/>
      <c r="E165" s="1310"/>
      <c r="F165" s="499" t="s">
        <v>247</v>
      </c>
      <c r="G165" s="832" t="s">
        <v>121</v>
      </c>
      <c r="H165" s="833">
        <v>13</v>
      </c>
      <c r="I165" s="603">
        <v>0</v>
      </c>
      <c r="J165" s="603">
        <v>0</v>
      </c>
      <c r="K165" s="469" t="s">
        <v>732</v>
      </c>
      <c r="L165" s="470">
        <v>335</v>
      </c>
      <c r="M165" s="480"/>
      <c r="N165" s="481"/>
    </row>
    <row r="166" spans="1:14" s="436" customFormat="1" ht="13.5" thickBot="1">
      <c r="A166" s="1215"/>
      <c r="B166" s="1215"/>
      <c r="C166" s="1153" t="s">
        <v>118</v>
      </c>
      <c r="D166" s="1372"/>
      <c r="E166" s="1372"/>
      <c r="F166" s="1372"/>
      <c r="G166" s="1372"/>
      <c r="H166" s="708">
        <f>H165</f>
        <v>13</v>
      </c>
      <c r="I166" s="671">
        <f>I165</f>
        <v>0</v>
      </c>
      <c r="J166" s="671">
        <f>J165</f>
        <v>0</v>
      </c>
      <c r="K166" s="339"/>
      <c r="L166" s="258"/>
      <c r="M166" s="258"/>
      <c r="N166" s="251"/>
    </row>
    <row r="167" spans="1:14" s="436" customFormat="1" ht="34.5" customHeight="1" thickBot="1">
      <c r="A167" s="1215"/>
      <c r="B167" s="1215"/>
      <c r="C167" s="1309" t="s">
        <v>733</v>
      </c>
      <c r="D167" s="1310"/>
      <c r="E167" s="1310"/>
      <c r="F167" s="499" t="s">
        <v>245</v>
      </c>
      <c r="G167" s="832" t="s">
        <v>121</v>
      </c>
      <c r="H167" s="833">
        <f>25+12</f>
        <v>37</v>
      </c>
      <c r="I167" s="603">
        <v>0</v>
      </c>
      <c r="J167" s="603">
        <v>0</v>
      </c>
      <c r="K167" s="469" t="s">
        <v>734</v>
      </c>
      <c r="L167" s="470">
        <v>572</v>
      </c>
      <c r="M167" s="480"/>
      <c r="N167" s="481"/>
    </row>
    <row r="168" spans="1:14" s="436" customFormat="1" ht="13.5" thickBot="1">
      <c r="A168" s="1215"/>
      <c r="B168" s="1215"/>
      <c r="C168" s="1153" t="s">
        <v>118</v>
      </c>
      <c r="D168" s="1372"/>
      <c r="E168" s="1372"/>
      <c r="F168" s="1372"/>
      <c r="G168" s="1372"/>
      <c r="H168" s="708">
        <f>H167</f>
        <v>37</v>
      </c>
      <c r="I168" s="671">
        <f>I167</f>
        <v>0</v>
      </c>
      <c r="J168" s="671">
        <f>J167</f>
        <v>0</v>
      </c>
      <c r="K168" s="339"/>
      <c r="L168" s="258"/>
      <c r="M168" s="258"/>
      <c r="N168" s="251"/>
    </row>
    <row r="169" spans="1:14" s="436" customFormat="1" ht="42" customHeight="1" thickBot="1">
      <c r="A169" s="1215"/>
      <c r="B169" s="1215"/>
      <c r="C169" s="1309" t="s">
        <v>741</v>
      </c>
      <c r="D169" s="1310"/>
      <c r="E169" s="1310"/>
      <c r="F169" s="499" t="s">
        <v>249</v>
      </c>
      <c r="G169" s="832" t="s">
        <v>121</v>
      </c>
      <c r="H169" s="833">
        <v>3</v>
      </c>
      <c r="I169" s="603">
        <v>0</v>
      </c>
      <c r="J169" s="603">
        <v>0</v>
      </c>
      <c r="K169" s="469" t="s">
        <v>740</v>
      </c>
      <c r="L169" s="470">
        <v>200</v>
      </c>
      <c r="M169" s="480"/>
      <c r="N169" s="481"/>
    </row>
    <row r="170" spans="1:14" s="436" customFormat="1" ht="13.5" thickBot="1">
      <c r="A170" s="1215"/>
      <c r="B170" s="1215"/>
      <c r="C170" s="1153" t="s">
        <v>118</v>
      </c>
      <c r="D170" s="1372"/>
      <c r="E170" s="1372"/>
      <c r="F170" s="1372"/>
      <c r="G170" s="1372"/>
      <c r="H170" s="708">
        <f>H169</f>
        <v>3</v>
      </c>
      <c r="I170" s="671">
        <f>I169</f>
        <v>0</v>
      </c>
      <c r="J170" s="671">
        <f>J169</f>
        <v>0</v>
      </c>
      <c r="K170" s="339"/>
      <c r="L170" s="258"/>
      <c r="M170" s="258"/>
      <c r="N170" s="251"/>
    </row>
    <row r="171" spans="1:14" s="436" customFormat="1" ht="33.75" customHeight="1" thickBot="1">
      <c r="A171" s="1215"/>
      <c r="B171" s="1215"/>
      <c r="C171" s="1309" t="s">
        <v>735</v>
      </c>
      <c r="D171" s="1310"/>
      <c r="E171" s="1310"/>
      <c r="F171" s="499" t="s">
        <v>173</v>
      </c>
      <c r="G171" s="832" t="s">
        <v>121</v>
      </c>
      <c r="H171" s="833">
        <v>32.799999999999997</v>
      </c>
      <c r="I171" s="603">
        <v>0</v>
      </c>
      <c r="J171" s="603">
        <v>0</v>
      </c>
      <c r="K171" s="469" t="s">
        <v>734</v>
      </c>
      <c r="L171" s="470">
        <v>500</v>
      </c>
      <c r="M171" s="480"/>
      <c r="N171" s="481"/>
    </row>
    <row r="172" spans="1:14" s="436" customFormat="1" ht="13.5" thickBot="1">
      <c r="A172" s="1215"/>
      <c r="B172" s="1215"/>
      <c r="C172" s="1153" t="s">
        <v>118</v>
      </c>
      <c r="D172" s="1372"/>
      <c r="E172" s="1372"/>
      <c r="F172" s="1372"/>
      <c r="G172" s="1372"/>
      <c r="H172" s="708">
        <f>H171</f>
        <v>32.799999999999997</v>
      </c>
      <c r="I172" s="671">
        <f>I171</f>
        <v>0</v>
      </c>
      <c r="J172" s="671">
        <f>J171</f>
        <v>0</v>
      </c>
      <c r="K172" s="339"/>
      <c r="L172" s="258"/>
      <c r="M172" s="258"/>
      <c r="N172" s="251"/>
    </row>
    <row r="173" spans="1:14" s="436" customFormat="1" ht="33" customHeight="1" thickBot="1">
      <c r="A173" s="1215"/>
      <c r="B173" s="1215"/>
      <c r="C173" s="1309" t="s">
        <v>736</v>
      </c>
      <c r="D173" s="1310"/>
      <c r="E173" s="1310"/>
      <c r="F173" s="839" t="s">
        <v>174</v>
      </c>
      <c r="G173" s="832" t="s">
        <v>121</v>
      </c>
      <c r="H173" s="833">
        <v>2</v>
      </c>
      <c r="I173" s="603">
        <v>0</v>
      </c>
      <c r="J173" s="603">
        <v>0</v>
      </c>
      <c r="K173" s="486" t="s">
        <v>725</v>
      </c>
      <c r="L173" s="487">
        <v>1</v>
      </c>
      <c r="M173" s="480"/>
      <c r="N173" s="481"/>
    </row>
    <row r="174" spans="1:14" s="436" customFormat="1" ht="13.5" thickBot="1">
      <c r="A174" s="1215"/>
      <c r="B174" s="1215"/>
      <c r="C174" s="1153" t="s">
        <v>118</v>
      </c>
      <c r="D174" s="1421"/>
      <c r="E174" s="1421"/>
      <c r="F174" s="1421"/>
      <c r="G174" s="1421"/>
      <c r="H174" s="708">
        <f>H173</f>
        <v>2</v>
      </c>
      <c r="I174" s="671">
        <f>I173</f>
        <v>0</v>
      </c>
      <c r="J174" s="671">
        <f>J173</f>
        <v>0</v>
      </c>
      <c r="K174" s="339"/>
      <c r="L174" s="258"/>
      <c r="M174" s="258"/>
      <c r="N174" s="251"/>
    </row>
    <row r="175" spans="1:14" s="436" customFormat="1" ht="23.25" thickBot="1">
      <c r="A175" s="1215"/>
      <c r="B175" s="1215"/>
      <c r="C175" s="1309" t="s">
        <v>742</v>
      </c>
      <c r="D175" s="1310"/>
      <c r="E175" s="1310"/>
      <c r="F175" s="839" t="s">
        <v>216</v>
      </c>
      <c r="G175" s="832" t="s">
        <v>121</v>
      </c>
      <c r="H175" s="833">
        <v>4.8</v>
      </c>
      <c r="I175" s="603">
        <v>0</v>
      </c>
      <c r="J175" s="603">
        <v>0</v>
      </c>
      <c r="K175" s="486" t="s">
        <v>725</v>
      </c>
      <c r="L175" s="487">
        <v>1</v>
      </c>
      <c r="M175" s="480"/>
      <c r="N175" s="481"/>
    </row>
    <row r="176" spans="1:14" s="436" customFormat="1" ht="13.5" thickBot="1">
      <c r="A176" s="1215"/>
      <c r="B176" s="1215"/>
      <c r="C176" s="1153" t="s">
        <v>118</v>
      </c>
      <c r="D176" s="1372"/>
      <c r="E176" s="1372"/>
      <c r="F176" s="1372"/>
      <c r="G176" s="1372"/>
      <c r="H176" s="708">
        <f>H175</f>
        <v>4.8</v>
      </c>
      <c r="I176" s="671">
        <f>I175</f>
        <v>0</v>
      </c>
      <c r="J176" s="671">
        <f>J175</f>
        <v>0</v>
      </c>
      <c r="K176" s="339"/>
      <c r="L176" s="258"/>
      <c r="M176" s="258"/>
      <c r="N176" s="251"/>
    </row>
    <row r="177" spans="1:14" s="436" customFormat="1" ht="23.25" thickBot="1">
      <c r="A177" s="1215"/>
      <c r="B177" s="1215"/>
      <c r="C177" s="1309" t="s">
        <v>743</v>
      </c>
      <c r="D177" s="1310"/>
      <c r="E177" s="1310"/>
      <c r="F177" s="499" t="s">
        <v>254</v>
      </c>
      <c r="G177" s="832" t="s">
        <v>121</v>
      </c>
      <c r="H177" s="833">
        <f>4.3+4.3</f>
        <v>8.6</v>
      </c>
      <c r="I177" s="603">
        <v>0</v>
      </c>
      <c r="J177" s="603">
        <v>0</v>
      </c>
      <c r="K177" s="486" t="s">
        <v>725</v>
      </c>
      <c r="L177" s="487">
        <v>1</v>
      </c>
      <c r="M177" s="480"/>
      <c r="N177" s="481"/>
    </row>
    <row r="178" spans="1:14" s="436" customFormat="1" ht="13.5" thickBot="1">
      <c r="A178" s="1215"/>
      <c r="B178" s="1215"/>
      <c r="C178" s="1159" t="s">
        <v>118</v>
      </c>
      <c r="D178" s="1763"/>
      <c r="E178" s="1763"/>
      <c r="F178" s="1763"/>
      <c r="G178" s="1763"/>
      <c r="H178" s="704">
        <f>H177</f>
        <v>8.6</v>
      </c>
      <c r="I178" s="705">
        <f>I177</f>
        <v>0</v>
      </c>
      <c r="J178" s="705">
        <f>J177</f>
        <v>0</v>
      </c>
      <c r="K178" s="340"/>
      <c r="L178" s="453"/>
      <c r="M178" s="453"/>
      <c r="N178" s="265"/>
    </row>
    <row r="179" spans="1:14" s="436" customFormat="1" ht="13.5" customHeight="1">
      <c r="A179" s="1215"/>
      <c r="B179" s="1783"/>
      <c r="C179" s="1309" t="s">
        <v>744</v>
      </c>
      <c r="D179" s="1310"/>
      <c r="E179" s="1310"/>
      <c r="F179" s="1749" t="s">
        <v>199</v>
      </c>
      <c r="G179" s="1149" t="s">
        <v>121</v>
      </c>
      <c r="H179" s="1151">
        <f>24+55+12.1+5.2</f>
        <v>96.3</v>
      </c>
      <c r="I179" s="1367">
        <v>0</v>
      </c>
      <c r="J179" s="1367">
        <v>0</v>
      </c>
      <c r="K179" s="803" t="s">
        <v>700</v>
      </c>
      <c r="L179" s="461">
        <v>1</v>
      </c>
      <c r="M179" s="480"/>
      <c r="N179" s="481"/>
    </row>
    <row r="180" spans="1:14" s="436" customFormat="1">
      <c r="A180" s="1215"/>
      <c r="B180" s="1783"/>
      <c r="C180" s="1349"/>
      <c r="D180" s="1169"/>
      <c r="E180" s="1169"/>
      <c r="F180" s="1876"/>
      <c r="G180" s="1766"/>
      <c r="H180" s="1755"/>
      <c r="I180" s="1353"/>
      <c r="J180" s="1353"/>
      <c r="K180" s="474" t="s">
        <v>739</v>
      </c>
      <c r="L180" s="475">
        <v>269</v>
      </c>
      <c r="M180" s="324"/>
      <c r="N180" s="976"/>
    </row>
    <row r="181" spans="1:14" s="436" customFormat="1">
      <c r="A181" s="1215"/>
      <c r="B181" s="1783"/>
      <c r="C181" s="1349"/>
      <c r="D181" s="1169"/>
      <c r="E181" s="1169"/>
      <c r="F181" s="1857"/>
      <c r="G181" s="1766"/>
      <c r="H181" s="1755"/>
      <c r="I181" s="1353"/>
      <c r="J181" s="1353"/>
      <c r="K181" s="474" t="s">
        <v>737</v>
      </c>
      <c r="L181" s="475">
        <v>1</v>
      </c>
      <c r="M181" s="324"/>
      <c r="N181" s="976"/>
    </row>
    <row r="182" spans="1:14" s="436" customFormat="1">
      <c r="A182" s="1215"/>
      <c r="B182" s="1783"/>
      <c r="C182" s="1349"/>
      <c r="D182" s="1169"/>
      <c r="E182" s="1169"/>
      <c r="F182" s="1764" t="s">
        <v>171</v>
      </c>
      <c r="G182" s="1766" t="s">
        <v>121</v>
      </c>
      <c r="H182" s="1768">
        <v>400</v>
      </c>
      <c r="I182" s="1768">
        <v>0</v>
      </c>
      <c r="J182" s="1768">
        <v>0</v>
      </c>
      <c r="K182" s="474" t="s">
        <v>738</v>
      </c>
      <c r="L182" s="475">
        <v>2</v>
      </c>
      <c r="M182" s="324"/>
      <c r="N182" s="976"/>
    </row>
    <row r="183" spans="1:14" s="436" customFormat="1" ht="26.25" customHeight="1" thickBot="1">
      <c r="A183" s="1215"/>
      <c r="B183" s="1783"/>
      <c r="C183" s="1311"/>
      <c r="D183" s="1312"/>
      <c r="E183" s="1312"/>
      <c r="F183" s="1765"/>
      <c r="G183" s="1767"/>
      <c r="H183" s="1856"/>
      <c r="I183" s="1856"/>
      <c r="J183" s="1856"/>
      <c r="K183" s="477" t="s">
        <v>725</v>
      </c>
      <c r="L183" s="478">
        <v>1</v>
      </c>
      <c r="M183" s="482"/>
      <c r="N183" s="483"/>
    </row>
    <row r="184" spans="1:14" s="436" customFormat="1" ht="13.5" thickBot="1">
      <c r="A184" s="1215"/>
      <c r="B184" s="1215"/>
      <c r="C184" s="1223" t="s">
        <v>118</v>
      </c>
      <c r="D184" s="1320"/>
      <c r="E184" s="1320"/>
      <c r="F184" s="1320"/>
      <c r="G184" s="1320"/>
      <c r="H184" s="634">
        <f>H179+H182</f>
        <v>496.3</v>
      </c>
      <c r="I184" s="635">
        <f>I179+I182</f>
        <v>0</v>
      </c>
      <c r="J184" s="635">
        <f>J179+J182</f>
        <v>0</v>
      </c>
      <c r="K184" s="473"/>
      <c r="L184" s="266"/>
      <c r="M184" s="266"/>
      <c r="N184" s="257"/>
    </row>
    <row r="185" spans="1:14" s="436" customFormat="1" ht="33" customHeight="1" thickBot="1">
      <c r="A185" s="1215"/>
      <c r="B185" s="1215"/>
      <c r="C185" s="1309" t="s">
        <v>761</v>
      </c>
      <c r="D185" s="1310"/>
      <c r="E185" s="1310"/>
      <c r="F185" s="499" t="s">
        <v>171</v>
      </c>
      <c r="G185" s="832" t="s">
        <v>121</v>
      </c>
      <c r="H185" s="833">
        <v>45</v>
      </c>
      <c r="I185" s="603">
        <v>0</v>
      </c>
      <c r="J185" s="603">
        <v>0</v>
      </c>
      <c r="K185" s="486" t="s">
        <v>762</v>
      </c>
      <c r="L185" s="487">
        <v>161.69999999999999</v>
      </c>
      <c r="M185" s="480"/>
      <c r="N185" s="481"/>
    </row>
    <row r="186" spans="1:14" s="436" customFormat="1" ht="21" customHeight="1" thickBot="1">
      <c r="A186" s="1215"/>
      <c r="B186" s="1215"/>
      <c r="C186" s="1159" t="s">
        <v>118</v>
      </c>
      <c r="D186" s="1488"/>
      <c r="E186" s="1488"/>
      <c r="F186" s="1488"/>
      <c r="G186" s="1488"/>
      <c r="H186" s="159">
        <f>H185</f>
        <v>45</v>
      </c>
      <c r="I186" s="134">
        <f>I185</f>
        <v>0</v>
      </c>
      <c r="J186" s="134">
        <f>J185</f>
        <v>0</v>
      </c>
      <c r="K186" s="339"/>
      <c r="L186" s="258"/>
      <c r="M186" s="258"/>
      <c r="N186" s="251"/>
    </row>
    <row r="187" spans="1:14" s="436" customFormat="1" ht="29.25" customHeight="1">
      <c r="A187" s="1215"/>
      <c r="B187" s="1215"/>
      <c r="C187" s="1309" t="s">
        <v>763</v>
      </c>
      <c r="D187" s="1310"/>
      <c r="E187" s="1310"/>
      <c r="F187" s="839" t="s">
        <v>198</v>
      </c>
      <c r="G187" s="832" t="s">
        <v>121</v>
      </c>
      <c r="H187" s="840">
        <f>14.2+5.5</f>
        <v>19.7</v>
      </c>
      <c r="I187" s="607">
        <v>0</v>
      </c>
      <c r="J187" s="607">
        <v>0</v>
      </c>
      <c r="K187" s="507" t="s">
        <v>701</v>
      </c>
      <c r="L187" s="467"/>
      <c r="M187" s="467"/>
      <c r="N187" s="468">
        <v>1</v>
      </c>
    </row>
    <row r="188" spans="1:14" s="436" customFormat="1" ht="29.25" customHeight="1" thickBot="1">
      <c r="A188" s="1215"/>
      <c r="B188" s="1215"/>
      <c r="C188" s="1752"/>
      <c r="D188" s="1753"/>
      <c r="E188" s="1753"/>
      <c r="F188" s="861" t="s">
        <v>171</v>
      </c>
      <c r="G188" s="862" t="s">
        <v>121</v>
      </c>
      <c r="H188" s="857">
        <f>600-11</f>
        <v>589</v>
      </c>
      <c r="I188" s="590">
        <v>500</v>
      </c>
      <c r="J188" s="590">
        <v>400</v>
      </c>
      <c r="K188" s="469" t="s">
        <v>725</v>
      </c>
      <c r="L188" s="470">
        <v>1</v>
      </c>
      <c r="M188" s="484"/>
      <c r="N188" s="485"/>
    </row>
    <row r="189" spans="1:14" s="436" customFormat="1" ht="13.5" thickBot="1">
      <c r="A189" s="1215"/>
      <c r="B189" s="1215"/>
      <c r="C189" s="1153" t="s">
        <v>118</v>
      </c>
      <c r="D189" s="1372"/>
      <c r="E189" s="1372"/>
      <c r="F189" s="1372"/>
      <c r="G189" s="1372"/>
      <c r="H189" s="708">
        <f>H187+H188</f>
        <v>608.70000000000005</v>
      </c>
      <c r="I189" s="671">
        <f t="shared" ref="I189:J189" si="14">I187+I188</f>
        <v>500</v>
      </c>
      <c r="J189" s="671">
        <f t="shared" si="14"/>
        <v>400</v>
      </c>
      <c r="K189" s="339"/>
      <c r="L189" s="258"/>
      <c r="M189" s="258"/>
      <c r="N189" s="251"/>
    </row>
    <row r="190" spans="1:14" s="436" customFormat="1" ht="27.75" customHeight="1">
      <c r="A190" s="1215"/>
      <c r="B190" s="1215"/>
      <c r="C190" s="1309" t="s">
        <v>764</v>
      </c>
      <c r="D190" s="1348"/>
      <c r="E190" s="1348"/>
      <c r="F190" s="1348" t="s">
        <v>171</v>
      </c>
      <c r="G190" s="832" t="s">
        <v>121</v>
      </c>
      <c r="H190" s="1105">
        <v>22.2</v>
      </c>
      <c r="I190" s="490">
        <v>4.4000000000000004</v>
      </c>
      <c r="J190" s="607">
        <v>0</v>
      </c>
      <c r="K190" s="507" t="s">
        <v>698</v>
      </c>
      <c r="L190" s="467">
        <v>2</v>
      </c>
      <c r="M190" s="467">
        <v>4</v>
      </c>
      <c r="N190" s="468"/>
    </row>
    <row r="191" spans="1:14" s="436" customFormat="1" ht="30" customHeight="1">
      <c r="A191" s="1215"/>
      <c r="B191" s="1215"/>
      <c r="C191" s="1786"/>
      <c r="D191" s="1168"/>
      <c r="E191" s="1168"/>
      <c r="F191" s="1788"/>
      <c r="G191" s="1115" t="s">
        <v>120</v>
      </c>
      <c r="H191" s="1115">
        <v>22.2</v>
      </c>
      <c r="I191" s="596">
        <v>4.4000000000000004</v>
      </c>
      <c r="J191" s="859">
        <v>0</v>
      </c>
      <c r="K191" s="501" t="s">
        <v>699</v>
      </c>
      <c r="L191" s="576"/>
      <c r="M191" s="596">
        <v>56</v>
      </c>
      <c r="N191" s="974"/>
    </row>
    <row r="192" spans="1:14" s="436" customFormat="1" ht="23.25" customHeight="1" thickBot="1">
      <c r="A192" s="1215"/>
      <c r="B192" s="1215"/>
      <c r="C192" s="1787"/>
      <c r="D192" s="1657"/>
      <c r="E192" s="1657"/>
      <c r="F192" s="1789"/>
      <c r="G192" s="771" t="s">
        <v>143</v>
      </c>
      <c r="H192" s="771">
        <v>251.3</v>
      </c>
      <c r="I192" s="396">
        <v>50</v>
      </c>
      <c r="J192" s="859">
        <v>0</v>
      </c>
      <c r="K192" s="413" t="s">
        <v>596</v>
      </c>
      <c r="L192" s="612">
        <v>70</v>
      </c>
      <c r="M192" s="612">
        <v>100</v>
      </c>
      <c r="N192" s="975"/>
    </row>
    <row r="193" spans="1:14" s="436" customFormat="1" ht="13.5" thickBot="1">
      <c r="A193" s="1215"/>
      <c r="B193" s="1215"/>
      <c r="C193" s="1286" t="s">
        <v>118</v>
      </c>
      <c r="D193" s="1848"/>
      <c r="E193" s="1848"/>
      <c r="F193" s="1848"/>
      <c r="G193" s="1848"/>
      <c r="H193" s="767">
        <f>H190+H191+H192</f>
        <v>295.7</v>
      </c>
      <c r="I193" s="767">
        <f t="shared" ref="I193:J193" si="15">I190+I191+I192</f>
        <v>58.8</v>
      </c>
      <c r="J193" s="767">
        <f t="shared" si="15"/>
        <v>0</v>
      </c>
      <c r="K193" s="437"/>
      <c r="L193" s="209"/>
      <c r="M193" s="209"/>
      <c r="N193" s="251"/>
    </row>
    <row r="194" spans="1:14" s="436" customFormat="1" ht="25.5" customHeight="1">
      <c r="A194" s="1215"/>
      <c r="B194" s="1215"/>
      <c r="C194" s="1877" t="s">
        <v>765</v>
      </c>
      <c r="D194" s="1878"/>
      <c r="E194" s="1878"/>
      <c r="F194" s="1878" t="s">
        <v>171</v>
      </c>
      <c r="G194" s="455" t="s">
        <v>121</v>
      </c>
      <c r="H194" s="1116">
        <v>11</v>
      </c>
      <c r="I194" s="466">
        <v>18</v>
      </c>
      <c r="J194" s="466">
        <v>7</v>
      </c>
      <c r="K194" s="464" t="s">
        <v>760</v>
      </c>
      <c r="L194" s="467"/>
      <c r="M194" s="467"/>
      <c r="N194" s="468">
        <v>1</v>
      </c>
    </row>
    <row r="195" spans="1:14" s="436" customFormat="1" ht="17.25" customHeight="1">
      <c r="A195" s="1215"/>
      <c r="B195" s="1215"/>
      <c r="C195" s="1879"/>
      <c r="D195" s="1880"/>
      <c r="E195" s="1880"/>
      <c r="F195" s="1883"/>
      <c r="G195" s="1117" t="s">
        <v>120</v>
      </c>
      <c r="H195" s="1118">
        <v>11</v>
      </c>
      <c r="I195" s="465">
        <v>18</v>
      </c>
      <c r="J195" s="465">
        <v>4</v>
      </c>
      <c r="K195" s="1757" t="s">
        <v>596</v>
      </c>
      <c r="L195" s="1759">
        <v>30</v>
      </c>
      <c r="M195" s="1759">
        <v>70</v>
      </c>
      <c r="N195" s="1761">
        <v>100</v>
      </c>
    </row>
    <row r="196" spans="1:14" s="436" customFormat="1" ht="18.75" customHeight="1" thickBot="1">
      <c r="A196" s="1215"/>
      <c r="B196" s="1215"/>
      <c r="C196" s="1881"/>
      <c r="D196" s="1882"/>
      <c r="E196" s="1882"/>
      <c r="F196" s="1884"/>
      <c r="G196" s="1119" t="s">
        <v>143</v>
      </c>
      <c r="H196" s="1120">
        <v>110</v>
      </c>
      <c r="I196" s="530">
        <v>200</v>
      </c>
      <c r="J196" s="530">
        <v>65</v>
      </c>
      <c r="K196" s="1758"/>
      <c r="L196" s="1760"/>
      <c r="M196" s="1760"/>
      <c r="N196" s="1762"/>
    </row>
    <row r="197" spans="1:14" s="436" customFormat="1" ht="17.25" customHeight="1" thickBot="1">
      <c r="A197" s="1215"/>
      <c r="B197" s="1215"/>
      <c r="C197" s="1153" t="s">
        <v>118</v>
      </c>
      <c r="D197" s="1305"/>
      <c r="E197" s="1305"/>
      <c r="F197" s="1305"/>
      <c r="G197" s="1305"/>
      <c r="H197" s="168">
        <f>H194+H195+H196</f>
        <v>132</v>
      </c>
      <c r="I197" s="381">
        <f t="shared" ref="I197:J197" si="16">I194+I195+I196</f>
        <v>236</v>
      </c>
      <c r="J197" s="381">
        <f t="shared" si="16"/>
        <v>76</v>
      </c>
      <c r="K197" s="437"/>
      <c r="L197" s="209"/>
      <c r="M197" s="209"/>
      <c r="N197" s="251"/>
    </row>
    <row r="198" spans="1:14" s="436" customFormat="1" ht="33" customHeight="1" thickBot="1">
      <c r="A198" s="1215"/>
      <c r="B198" s="1215"/>
      <c r="C198" s="1309" t="s">
        <v>792</v>
      </c>
      <c r="D198" s="1310"/>
      <c r="E198" s="1310"/>
      <c r="F198" s="499" t="s">
        <v>171</v>
      </c>
      <c r="G198" s="832" t="s">
        <v>121</v>
      </c>
      <c r="H198" s="840">
        <v>30</v>
      </c>
      <c r="I198" s="607">
        <v>0</v>
      </c>
      <c r="J198" s="607">
        <v>0</v>
      </c>
      <c r="K198" s="471" t="s">
        <v>793</v>
      </c>
      <c r="L198" s="472">
        <v>1</v>
      </c>
      <c r="M198" s="490"/>
      <c r="N198" s="491"/>
    </row>
    <row r="199" spans="1:14" s="436" customFormat="1" ht="13.5" thickBot="1">
      <c r="A199" s="1215"/>
      <c r="B199" s="1215"/>
      <c r="C199" s="1159" t="s">
        <v>118</v>
      </c>
      <c r="D199" s="1319"/>
      <c r="E199" s="1319"/>
      <c r="F199" s="1319"/>
      <c r="G199" s="1319"/>
      <c r="H199" s="708">
        <f>H198</f>
        <v>30</v>
      </c>
      <c r="I199" s="671">
        <f>I198</f>
        <v>0</v>
      </c>
      <c r="J199" s="671">
        <f>J198</f>
        <v>0</v>
      </c>
      <c r="K199" s="339"/>
      <c r="L199" s="258"/>
      <c r="M199" s="258"/>
      <c r="N199" s="251"/>
    </row>
    <row r="200" spans="1:14" s="436" customFormat="1" ht="39" customHeight="1" thickBot="1">
      <c r="A200" s="1215"/>
      <c r="B200" s="1215"/>
      <c r="C200" s="1309" t="s">
        <v>794</v>
      </c>
      <c r="D200" s="1310"/>
      <c r="E200" s="1310"/>
      <c r="F200" s="499" t="s">
        <v>171</v>
      </c>
      <c r="G200" s="832" t="s">
        <v>121</v>
      </c>
      <c r="H200" s="833">
        <v>10</v>
      </c>
      <c r="I200" s="603">
        <v>6</v>
      </c>
      <c r="J200" s="603">
        <v>3</v>
      </c>
      <c r="K200" s="486" t="s">
        <v>795</v>
      </c>
      <c r="L200" s="487">
        <v>8</v>
      </c>
      <c r="M200" s="461">
        <v>5</v>
      </c>
      <c r="N200" s="462">
        <v>2</v>
      </c>
    </row>
    <row r="201" spans="1:14" s="436" customFormat="1" ht="13.5" thickBot="1">
      <c r="A201" s="1215"/>
      <c r="B201" s="1215"/>
      <c r="C201" s="1153" t="s">
        <v>118</v>
      </c>
      <c r="D201" s="1211"/>
      <c r="E201" s="1211"/>
      <c r="F201" s="1211"/>
      <c r="G201" s="1211"/>
      <c r="H201" s="704">
        <f>H200</f>
        <v>10</v>
      </c>
      <c r="I201" s="705">
        <f>I200</f>
        <v>6</v>
      </c>
      <c r="J201" s="705">
        <f>J200</f>
        <v>3</v>
      </c>
      <c r="K201" s="340"/>
      <c r="L201" s="453"/>
      <c r="M201" s="453"/>
      <c r="N201" s="265"/>
    </row>
    <row r="202" spans="1:14" s="436" customFormat="1" ht="13.5" thickBot="1">
      <c r="A202" s="1215"/>
      <c r="B202" s="1159" t="s">
        <v>119</v>
      </c>
      <c r="C202" s="1375"/>
      <c r="D202" s="1375"/>
      <c r="E202" s="1375"/>
      <c r="F202" s="1375"/>
      <c r="G202" s="1375"/>
      <c r="H202" s="985">
        <f>H126+H136+H138+H141+H143+H147+H150+H153+H157+H159+H161+H164+H166+H168+H170+H172+H174+T172+H176+H178+H184+H189+H193+H132+H186+H197+H199+H201</f>
        <v>2906.3999999999996</v>
      </c>
      <c r="I202" s="986">
        <f t="shared" ref="I202:J202" si="17">I126+I136+I138+I141+I143+I147+I150+I153+I157+I159+I161+I164+I166+I168+I170+I172+I174+U172+I176+I178+I184+I189+I193+I132+I186+I197+I199+I201</f>
        <v>800.8</v>
      </c>
      <c r="J202" s="986">
        <f t="shared" si="17"/>
        <v>479</v>
      </c>
      <c r="K202" s="437"/>
      <c r="L202" s="209"/>
      <c r="M202" s="209"/>
      <c r="N202" s="251"/>
    </row>
    <row r="203" spans="1:14" s="436" customFormat="1" ht="25.5" customHeight="1">
      <c r="A203" s="1215"/>
      <c r="B203" s="1867" t="s">
        <v>693</v>
      </c>
      <c r="C203" s="1309" t="s">
        <v>770</v>
      </c>
      <c r="D203" s="1348"/>
      <c r="E203" s="1348"/>
      <c r="F203" s="1348" t="s">
        <v>171</v>
      </c>
      <c r="G203" s="832" t="s">
        <v>121</v>
      </c>
      <c r="H203" s="1121">
        <v>80</v>
      </c>
      <c r="I203" s="859">
        <v>0</v>
      </c>
      <c r="J203" s="859">
        <v>0</v>
      </c>
      <c r="K203" s="507" t="s">
        <v>701</v>
      </c>
      <c r="L203" s="467"/>
      <c r="M203" s="467">
        <v>1</v>
      </c>
      <c r="N203" s="468"/>
    </row>
    <row r="204" spans="1:14" s="436" customFormat="1" ht="17.25" customHeight="1">
      <c r="A204" s="1215"/>
      <c r="B204" s="1487"/>
      <c r="C204" s="1786"/>
      <c r="D204" s="1168"/>
      <c r="E204" s="1168"/>
      <c r="F204" s="1788"/>
      <c r="G204" s="1115" t="s">
        <v>120</v>
      </c>
      <c r="H204" s="1122">
        <v>474</v>
      </c>
      <c r="I204" s="977">
        <v>0</v>
      </c>
      <c r="J204" s="977">
        <v>0</v>
      </c>
      <c r="K204" s="1757" t="s">
        <v>596</v>
      </c>
      <c r="L204" s="1759">
        <v>50</v>
      </c>
      <c r="M204" s="1759">
        <v>100</v>
      </c>
      <c r="N204" s="1761"/>
    </row>
    <row r="205" spans="1:14" s="436" customFormat="1" ht="18.75" customHeight="1" thickBot="1">
      <c r="A205" s="1215"/>
      <c r="B205" s="1487"/>
      <c r="C205" s="1504"/>
      <c r="D205" s="1505"/>
      <c r="E205" s="1505"/>
      <c r="F205" s="1871"/>
      <c r="G205" s="1101" t="s">
        <v>143</v>
      </c>
      <c r="H205" s="1106">
        <v>60</v>
      </c>
      <c r="I205" s="778">
        <v>0</v>
      </c>
      <c r="J205" s="778">
        <v>0</v>
      </c>
      <c r="K205" s="1812"/>
      <c r="L205" s="1812"/>
      <c r="M205" s="1812"/>
      <c r="N205" s="1846"/>
    </row>
    <row r="206" spans="1:14" s="436" customFormat="1" ht="13.5" thickBot="1">
      <c r="A206" s="1215"/>
      <c r="B206" s="1868"/>
      <c r="C206" s="1159" t="s">
        <v>118</v>
      </c>
      <c r="D206" s="1424"/>
      <c r="E206" s="1424"/>
      <c r="F206" s="1424"/>
      <c r="G206" s="1425"/>
      <c r="H206" s="895">
        <f>SUM(H203:H205)</f>
        <v>614</v>
      </c>
      <c r="I206" s="895">
        <f>SUM(I203:I205)</f>
        <v>0</v>
      </c>
      <c r="J206" s="895">
        <f>SUM(J203:J205)</f>
        <v>0</v>
      </c>
      <c r="K206" s="439"/>
      <c r="L206" s="264"/>
      <c r="M206" s="264"/>
      <c r="N206" s="265"/>
    </row>
    <row r="207" spans="1:14" s="436" customFormat="1" ht="23.25" customHeight="1">
      <c r="A207" s="1215"/>
      <c r="B207" s="1868"/>
      <c r="C207" s="1309" t="s">
        <v>772</v>
      </c>
      <c r="D207" s="1348"/>
      <c r="E207" s="1348"/>
      <c r="F207" s="1348" t="s">
        <v>209</v>
      </c>
      <c r="G207" s="1149" t="s">
        <v>121</v>
      </c>
      <c r="H207" s="1851">
        <f>46+45+7</f>
        <v>98</v>
      </c>
      <c r="I207" s="1367">
        <v>0</v>
      </c>
      <c r="J207" s="1367">
        <v>0</v>
      </c>
      <c r="K207" s="492" t="s">
        <v>773</v>
      </c>
      <c r="L207" s="594">
        <v>1</v>
      </c>
      <c r="M207" s="461"/>
      <c r="N207" s="462"/>
    </row>
    <row r="208" spans="1:14" s="436" customFormat="1" ht="23.25" customHeight="1">
      <c r="A208" s="1215"/>
      <c r="B208" s="1868"/>
      <c r="C208" s="1786"/>
      <c r="D208" s="1168"/>
      <c r="E208" s="1168"/>
      <c r="F208" s="1788"/>
      <c r="G208" s="1849"/>
      <c r="H208" s="1852"/>
      <c r="I208" s="1854"/>
      <c r="J208" s="1854"/>
      <c r="K208" s="504" t="s">
        <v>774</v>
      </c>
      <c r="L208" s="602">
        <v>1</v>
      </c>
      <c r="M208" s="602"/>
      <c r="N208" s="505"/>
    </row>
    <row r="209" spans="1:14" s="436" customFormat="1" ht="31.5" customHeight="1" thickBot="1">
      <c r="A209" s="1215"/>
      <c r="B209" s="1868"/>
      <c r="C209" s="1787"/>
      <c r="D209" s="1657"/>
      <c r="E209" s="1657"/>
      <c r="F209" s="1789"/>
      <c r="G209" s="1850"/>
      <c r="H209" s="1853"/>
      <c r="I209" s="1855"/>
      <c r="J209" s="1855"/>
      <c r="K209" s="1009" t="s">
        <v>775</v>
      </c>
      <c r="L209" s="612">
        <v>234</v>
      </c>
      <c r="M209" s="413"/>
      <c r="N209" s="506"/>
    </row>
    <row r="210" spans="1:14" s="436" customFormat="1" ht="13.5" thickBot="1">
      <c r="A210" s="1215"/>
      <c r="B210" s="1869"/>
      <c r="C210" s="1286" t="s">
        <v>118</v>
      </c>
      <c r="D210" s="1848"/>
      <c r="E210" s="1848"/>
      <c r="F210" s="1848"/>
      <c r="G210" s="1848"/>
      <c r="H210" s="767">
        <f>SUM(H207:H209)</f>
        <v>98</v>
      </c>
      <c r="I210" s="767">
        <f>SUM(I207:I209)</f>
        <v>0</v>
      </c>
      <c r="J210" s="818">
        <f>SUM(J207:J209)</f>
        <v>0</v>
      </c>
      <c r="K210" s="1010"/>
      <c r="L210" s="350"/>
      <c r="M210" s="350"/>
      <c r="N210" s="257"/>
    </row>
    <row r="211" spans="1:14" s="436" customFormat="1" ht="30" customHeight="1" thickBot="1">
      <c r="A211" s="1215"/>
      <c r="B211" s="1868"/>
      <c r="C211" s="1847" t="s">
        <v>776</v>
      </c>
      <c r="D211" s="1187"/>
      <c r="E211" s="1187"/>
      <c r="F211" s="916" t="s">
        <v>171</v>
      </c>
      <c r="G211" s="836" t="s">
        <v>121</v>
      </c>
      <c r="H211" s="1123">
        <v>127</v>
      </c>
      <c r="I211" s="852">
        <v>0</v>
      </c>
      <c r="J211" s="852">
        <v>0</v>
      </c>
      <c r="K211" s="492" t="s">
        <v>700</v>
      </c>
      <c r="L211" s="461">
        <v>1</v>
      </c>
      <c r="M211" s="461"/>
      <c r="N211" s="462"/>
    </row>
    <row r="212" spans="1:14" s="436" customFormat="1" ht="13.5" thickBot="1">
      <c r="A212" s="1215"/>
      <c r="B212" s="1868"/>
      <c r="C212" s="1159" t="s">
        <v>118</v>
      </c>
      <c r="D212" s="1424"/>
      <c r="E212" s="1424"/>
      <c r="F212" s="1424"/>
      <c r="G212" s="1424"/>
      <c r="H212" s="766">
        <f>SUM(H211:H211)</f>
        <v>127</v>
      </c>
      <c r="I212" s="767">
        <f>SUM(I211:I211)</f>
        <v>0</v>
      </c>
      <c r="J212" s="818">
        <f>SUM(J211:J211)</f>
        <v>0</v>
      </c>
      <c r="K212" s="984"/>
      <c r="L212" s="264"/>
      <c r="M212" s="264"/>
      <c r="N212" s="265"/>
    </row>
    <row r="213" spans="1:14" s="436" customFormat="1" ht="22.5">
      <c r="A213" s="1215"/>
      <c r="B213" s="1869"/>
      <c r="C213" s="1309" t="s">
        <v>777</v>
      </c>
      <c r="D213" s="1348"/>
      <c r="E213" s="1348"/>
      <c r="F213" s="845" t="s">
        <v>211</v>
      </c>
      <c r="G213" s="832" t="s">
        <v>121</v>
      </c>
      <c r="H213" s="1121">
        <v>85.9</v>
      </c>
      <c r="I213" s="859">
        <v>0</v>
      </c>
      <c r="J213" s="859">
        <v>0</v>
      </c>
      <c r="K213" s="492" t="s">
        <v>778</v>
      </c>
      <c r="L213" s="461">
        <v>26</v>
      </c>
      <c r="M213" s="461"/>
      <c r="N213" s="462"/>
    </row>
    <row r="214" spans="1:14" s="436" customFormat="1" ht="13.5" thickBot="1">
      <c r="A214" s="1215"/>
      <c r="B214" s="1869"/>
      <c r="C214" s="1311"/>
      <c r="D214" s="1312"/>
      <c r="E214" s="1312"/>
      <c r="F214" s="600" t="s">
        <v>171</v>
      </c>
      <c r="G214" s="498" t="s">
        <v>121</v>
      </c>
      <c r="H214" s="1106">
        <v>80</v>
      </c>
      <c r="I214" s="512">
        <v>0</v>
      </c>
      <c r="J214" s="512">
        <v>0</v>
      </c>
      <c r="K214" s="502" t="s">
        <v>760</v>
      </c>
      <c r="L214" s="478">
        <v>1</v>
      </c>
      <c r="M214" s="478"/>
      <c r="N214" s="463"/>
    </row>
    <row r="215" spans="1:14" s="436" customFormat="1" ht="13.5" thickBot="1">
      <c r="A215" s="1215"/>
      <c r="B215" s="1870"/>
      <c r="C215" s="1223" t="s">
        <v>118</v>
      </c>
      <c r="D215" s="1479"/>
      <c r="E215" s="1479"/>
      <c r="F215" s="1479"/>
      <c r="G215" s="1562"/>
      <c r="H215" s="904">
        <f>SUM(H213:H214)</f>
        <v>165.9</v>
      </c>
      <c r="I215" s="904">
        <f t="shared" ref="I215:J215" si="18">SUM(I213:I214)</f>
        <v>0</v>
      </c>
      <c r="J215" s="904">
        <f t="shared" si="18"/>
        <v>0</v>
      </c>
      <c r="K215" s="148"/>
      <c r="L215" s="170"/>
      <c r="M215" s="170"/>
      <c r="N215" s="255"/>
    </row>
    <row r="216" spans="1:14" s="436" customFormat="1" ht="13.5" thickBot="1">
      <c r="A216" s="1215"/>
      <c r="B216" s="1153" t="s">
        <v>119</v>
      </c>
      <c r="C216" s="1424"/>
      <c r="D216" s="1424"/>
      <c r="E216" s="1424"/>
      <c r="F216" s="1424"/>
      <c r="G216" s="1424"/>
      <c r="H216" s="897">
        <f>H206+H210+H212+H215</f>
        <v>1004.9</v>
      </c>
      <c r="I216" s="986">
        <f t="shared" ref="I216:J216" si="19">I206+I210+I212+I215</f>
        <v>0</v>
      </c>
      <c r="J216" s="986">
        <f t="shared" si="19"/>
        <v>0</v>
      </c>
      <c r="K216" s="437"/>
      <c r="L216" s="209"/>
      <c r="M216" s="209"/>
      <c r="N216" s="251"/>
    </row>
    <row r="217" spans="1:14" s="7" customFormat="1" ht="29.25" customHeight="1">
      <c r="A217" s="1215"/>
      <c r="B217" s="1872" t="s">
        <v>692</v>
      </c>
      <c r="C217" s="1309" t="s">
        <v>753</v>
      </c>
      <c r="D217" s="1363"/>
      <c r="E217" s="1363"/>
      <c r="F217" s="1507" t="s">
        <v>171</v>
      </c>
      <c r="G217" s="832" t="s">
        <v>121</v>
      </c>
      <c r="H217" s="840">
        <v>27</v>
      </c>
      <c r="I217" s="607">
        <v>7.3</v>
      </c>
      <c r="J217" s="607">
        <v>0</v>
      </c>
      <c r="K217" s="507" t="s">
        <v>754</v>
      </c>
      <c r="L217" s="508"/>
      <c r="M217" s="509">
        <v>1</v>
      </c>
      <c r="N217" s="517"/>
    </row>
    <row r="218" spans="1:14" s="7" customFormat="1" ht="21" customHeight="1" thickBot="1">
      <c r="A218" s="1215"/>
      <c r="B218" s="1873"/>
      <c r="C218" s="1364"/>
      <c r="D218" s="1365"/>
      <c r="E218" s="1365"/>
      <c r="F218" s="1345"/>
      <c r="G218" s="1101" t="s">
        <v>143</v>
      </c>
      <c r="H218" s="1045">
        <v>153</v>
      </c>
      <c r="I218" s="597">
        <v>15</v>
      </c>
      <c r="J218" s="859">
        <v>0</v>
      </c>
      <c r="K218" s="597" t="s">
        <v>596</v>
      </c>
      <c r="L218" s="598">
        <v>50</v>
      </c>
      <c r="M218" s="598">
        <v>100</v>
      </c>
      <c r="N218" s="520"/>
    </row>
    <row r="219" spans="1:14" s="436" customFormat="1" ht="13.5" thickBot="1">
      <c r="A219" s="1215"/>
      <c r="B219" s="1873"/>
      <c r="C219" s="1159" t="s">
        <v>118</v>
      </c>
      <c r="D219" s="1424"/>
      <c r="E219" s="1424"/>
      <c r="F219" s="1424"/>
      <c r="G219" s="1424"/>
      <c r="H219" s="755">
        <f>H217+H218</f>
        <v>180</v>
      </c>
      <c r="I219" s="756">
        <f t="shared" ref="I219:J219" si="20">I217+I218</f>
        <v>22.3</v>
      </c>
      <c r="J219" s="756">
        <f t="shared" si="20"/>
        <v>0</v>
      </c>
      <c r="K219" s="439"/>
      <c r="L219" s="264"/>
      <c r="M219" s="264"/>
      <c r="N219" s="265"/>
    </row>
    <row r="220" spans="1:14" s="436" customFormat="1">
      <c r="A220" s="1215"/>
      <c r="B220" s="1873"/>
      <c r="C220" s="1309" t="s">
        <v>755</v>
      </c>
      <c r="D220" s="1363"/>
      <c r="E220" s="1363"/>
      <c r="F220" s="831" t="s">
        <v>171</v>
      </c>
      <c r="G220" s="832" t="s">
        <v>121</v>
      </c>
      <c r="H220" s="833">
        <f>260</f>
        <v>260</v>
      </c>
      <c r="I220" s="603">
        <v>350</v>
      </c>
      <c r="J220" s="854">
        <v>0</v>
      </c>
      <c r="K220" s="492" t="s">
        <v>756</v>
      </c>
      <c r="L220" s="804">
        <v>392</v>
      </c>
      <c r="M220" s="804">
        <v>600</v>
      </c>
      <c r="N220" s="458"/>
    </row>
    <row r="221" spans="1:14" s="436" customFormat="1" ht="13.5" thickBot="1">
      <c r="A221" s="1215"/>
      <c r="B221" s="1873"/>
      <c r="C221" s="1364"/>
      <c r="D221" s="1365"/>
      <c r="E221" s="1365"/>
      <c r="F221" s="1074"/>
      <c r="G221" s="1101" t="s">
        <v>120</v>
      </c>
      <c r="H221" s="938">
        <v>874</v>
      </c>
      <c r="I221" s="413">
        <v>1166</v>
      </c>
      <c r="J221" s="859">
        <v>0</v>
      </c>
      <c r="K221" s="413" t="s">
        <v>596</v>
      </c>
      <c r="L221" s="413">
        <v>50</v>
      </c>
      <c r="M221" s="413">
        <v>100</v>
      </c>
      <c r="N221" s="463"/>
    </row>
    <row r="222" spans="1:14" s="436" customFormat="1" ht="13.5" thickBot="1">
      <c r="A222" s="1215"/>
      <c r="B222" s="1873"/>
      <c r="C222" s="1223" t="s">
        <v>118</v>
      </c>
      <c r="D222" s="1479"/>
      <c r="E222" s="1479"/>
      <c r="F222" s="1479"/>
      <c r="G222" s="1479"/>
      <c r="H222" s="925">
        <f>H220+H221</f>
        <v>1134</v>
      </c>
      <c r="I222" s="926">
        <f t="shared" ref="I222" si="21">I220+I221</f>
        <v>1516</v>
      </c>
      <c r="J222" s="926">
        <f t="shared" ref="J222" si="22">J220+J221</f>
        <v>0</v>
      </c>
      <c r="K222" s="196"/>
      <c r="L222" s="350"/>
      <c r="M222" s="350"/>
      <c r="N222" s="257"/>
    </row>
    <row r="223" spans="1:14" s="436" customFormat="1" ht="29.25" customHeight="1" thickBot="1">
      <c r="A223" s="1215"/>
      <c r="B223" s="1873"/>
      <c r="C223" s="1309" t="s">
        <v>766</v>
      </c>
      <c r="D223" s="1363"/>
      <c r="E223" s="1363"/>
      <c r="F223" s="849" t="s">
        <v>171</v>
      </c>
      <c r="G223" s="832" t="s">
        <v>121</v>
      </c>
      <c r="H223" s="838">
        <v>20</v>
      </c>
      <c r="I223" s="589">
        <v>0</v>
      </c>
      <c r="J223" s="589">
        <v>0</v>
      </c>
      <c r="K223" s="591" t="s">
        <v>767</v>
      </c>
      <c r="L223" s="592">
        <v>1</v>
      </c>
      <c r="M223" s="592"/>
      <c r="N223" s="593"/>
    </row>
    <row r="224" spans="1:14" s="436" customFormat="1" ht="13.5" thickBot="1">
      <c r="A224" s="1215"/>
      <c r="B224" s="1873"/>
      <c r="C224" s="1159" t="s">
        <v>118</v>
      </c>
      <c r="D224" s="1424"/>
      <c r="E224" s="1424"/>
      <c r="F224" s="1424"/>
      <c r="G224" s="1424"/>
      <c r="H224" s="755">
        <f>H223</f>
        <v>20</v>
      </c>
      <c r="I224" s="756">
        <f t="shared" ref="I224:J224" si="23">I223</f>
        <v>0</v>
      </c>
      <c r="J224" s="756">
        <f t="shared" si="23"/>
        <v>0</v>
      </c>
      <c r="K224" s="439"/>
      <c r="L224" s="264"/>
      <c r="M224" s="264"/>
      <c r="N224" s="265"/>
    </row>
    <row r="225" spans="1:14" s="436" customFormat="1" ht="26.25" customHeight="1">
      <c r="A225" s="1215"/>
      <c r="B225" s="1874"/>
      <c r="C225" s="1309" t="s">
        <v>771</v>
      </c>
      <c r="D225" s="1177"/>
      <c r="E225" s="1177"/>
      <c r="F225" s="1147" t="s">
        <v>178</v>
      </c>
      <c r="G225" s="1149" t="s">
        <v>121</v>
      </c>
      <c r="H225" s="1151">
        <f>5+1</f>
        <v>6</v>
      </c>
      <c r="I225" s="1367">
        <v>0</v>
      </c>
      <c r="J225" s="1367">
        <v>0</v>
      </c>
      <c r="K225" s="492" t="s">
        <v>768</v>
      </c>
      <c r="L225" s="461">
        <v>1</v>
      </c>
      <c r="M225" s="461"/>
      <c r="N225" s="462"/>
    </row>
    <row r="226" spans="1:14" s="436" customFormat="1" ht="13.5" thickBot="1">
      <c r="A226" s="1215"/>
      <c r="B226" s="1875"/>
      <c r="C226" s="1182"/>
      <c r="D226" s="1183"/>
      <c r="E226" s="1183"/>
      <c r="F226" s="1183"/>
      <c r="G226" s="1183"/>
      <c r="H226" s="1183"/>
      <c r="I226" s="1354"/>
      <c r="J226" s="1354"/>
      <c r="K226" s="502" t="s">
        <v>769</v>
      </c>
      <c r="L226" s="503">
        <v>1</v>
      </c>
      <c r="M226" s="503"/>
      <c r="N226" s="460"/>
    </row>
    <row r="227" spans="1:14" s="436" customFormat="1" ht="13.5" thickBot="1">
      <c r="A227" s="1215"/>
      <c r="B227" s="1585"/>
      <c r="C227" s="1206" t="s">
        <v>118</v>
      </c>
      <c r="D227" s="1784"/>
      <c r="E227" s="1784"/>
      <c r="F227" s="1784"/>
      <c r="G227" s="1784"/>
      <c r="H227" s="995">
        <f>H225</f>
        <v>6</v>
      </c>
      <c r="I227" s="996">
        <f t="shared" ref="I227:J227" si="24">I226</f>
        <v>0</v>
      </c>
      <c r="J227" s="996">
        <f t="shared" si="24"/>
        <v>0</v>
      </c>
      <c r="K227" s="148"/>
      <c r="L227" s="170"/>
      <c r="M227" s="170"/>
      <c r="N227" s="255"/>
    </row>
    <row r="228" spans="1:14" s="7" customFormat="1" ht="13.5" thickBot="1">
      <c r="A228" s="1215"/>
      <c r="B228" s="1153" t="s">
        <v>119</v>
      </c>
      <c r="C228" s="1378"/>
      <c r="D228" s="1378"/>
      <c r="E228" s="1378"/>
      <c r="F228" s="1378"/>
      <c r="G228" s="1378"/>
      <c r="H228" s="766">
        <f>H219+H222+H224+H227</f>
        <v>1340</v>
      </c>
      <c r="I228" s="767">
        <f t="shared" ref="I228:J228" si="25">I219+I222+I224+I227</f>
        <v>1538.3</v>
      </c>
      <c r="J228" s="767">
        <f t="shared" si="25"/>
        <v>0</v>
      </c>
      <c r="K228" s="381"/>
      <c r="L228" s="260"/>
      <c r="M228" s="260"/>
      <c r="N228" s="500"/>
    </row>
    <row r="229" spans="1:14" s="7" customFormat="1">
      <c r="A229" s="1215"/>
      <c r="B229" s="1171" t="s">
        <v>694</v>
      </c>
      <c r="C229" s="1165" t="s">
        <v>779</v>
      </c>
      <c r="D229" s="1340"/>
      <c r="E229" s="1341"/>
      <c r="F229" s="1507" t="s">
        <v>171</v>
      </c>
      <c r="G229" s="832" t="s">
        <v>121</v>
      </c>
      <c r="H229" s="1111">
        <f>26.5+36.9</f>
        <v>63.4</v>
      </c>
      <c r="I229" s="603">
        <v>31.3</v>
      </c>
      <c r="J229" s="603">
        <v>0</v>
      </c>
      <c r="K229" s="1382" t="s">
        <v>340</v>
      </c>
      <c r="L229" s="1807">
        <v>119</v>
      </c>
      <c r="M229" s="1807">
        <v>119</v>
      </c>
      <c r="N229" s="1831"/>
    </row>
    <row r="230" spans="1:14" s="7" customFormat="1" ht="21.75" customHeight="1">
      <c r="A230" s="1215"/>
      <c r="B230" s="1172"/>
      <c r="C230" s="1299"/>
      <c r="D230" s="1174"/>
      <c r="E230" s="1175"/>
      <c r="F230" s="1531"/>
      <c r="G230" s="1462" t="s">
        <v>143</v>
      </c>
      <c r="H230" s="1193">
        <v>150</v>
      </c>
      <c r="I230" s="1389">
        <v>177.1</v>
      </c>
      <c r="J230" s="1389">
        <v>0</v>
      </c>
      <c r="K230" s="1383"/>
      <c r="L230" s="1808"/>
      <c r="M230" s="1808"/>
      <c r="N230" s="1832"/>
    </row>
    <row r="231" spans="1:14" s="319" customFormat="1" ht="22.5">
      <c r="A231" s="1215"/>
      <c r="B231" s="1172"/>
      <c r="C231" s="1299"/>
      <c r="D231" s="1174"/>
      <c r="E231" s="1175"/>
      <c r="F231" s="1743"/>
      <c r="G231" s="1519"/>
      <c r="H231" s="1385"/>
      <c r="I231" s="1386"/>
      <c r="J231" s="1386"/>
      <c r="K231" s="585" t="s">
        <v>413</v>
      </c>
      <c r="L231" s="614"/>
      <c r="M231" s="614">
        <v>1</v>
      </c>
      <c r="N231" s="978"/>
    </row>
    <row r="232" spans="1:14" s="7" customFormat="1" ht="13.5" thickBot="1">
      <c r="A232" s="1215"/>
      <c r="B232" s="1172"/>
      <c r="C232" s="1194"/>
      <c r="D232" s="1195"/>
      <c r="E232" s="1196"/>
      <c r="F232" s="510" t="s">
        <v>205</v>
      </c>
      <c r="G232" s="498" t="s">
        <v>121</v>
      </c>
      <c r="H232" s="511">
        <v>3</v>
      </c>
      <c r="I232" s="512"/>
      <c r="J232" s="512"/>
      <c r="K232" s="979" t="s">
        <v>780</v>
      </c>
      <c r="L232" s="980">
        <v>1</v>
      </c>
      <c r="M232" s="981"/>
      <c r="N232" s="463"/>
    </row>
    <row r="233" spans="1:14" s="7" customFormat="1" ht="13.5" thickBot="1">
      <c r="A233" s="1215"/>
      <c r="B233" s="1172"/>
      <c r="C233" s="1153" t="s">
        <v>118</v>
      </c>
      <c r="D233" s="1378"/>
      <c r="E233" s="1378"/>
      <c r="F233" s="1378"/>
      <c r="G233" s="1379"/>
      <c r="H233" s="873">
        <f>SUM(H229:H232)</f>
        <v>216.4</v>
      </c>
      <c r="I233" s="874">
        <f>SUM(I229:I232)</f>
        <v>208.4</v>
      </c>
      <c r="J233" s="874">
        <f>SUM(J229:J232)</f>
        <v>0</v>
      </c>
      <c r="K233" s="139"/>
      <c r="L233" s="209"/>
      <c r="M233" s="209"/>
      <c r="N233" s="251"/>
    </row>
    <row r="234" spans="1:14" s="436" customFormat="1" ht="26.25" customHeight="1" thickBot="1">
      <c r="A234" s="1215"/>
      <c r="B234" s="1172"/>
      <c r="C234" s="1165" t="s">
        <v>781</v>
      </c>
      <c r="D234" s="1340"/>
      <c r="E234" s="1341"/>
      <c r="F234" s="849" t="s">
        <v>171</v>
      </c>
      <c r="G234" s="832" t="s">
        <v>121</v>
      </c>
      <c r="H234" s="833">
        <v>50</v>
      </c>
      <c r="I234" s="603">
        <v>50</v>
      </c>
      <c r="J234" s="603">
        <v>50</v>
      </c>
      <c r="K234" s="578" t="s">
        <v>782</v>
      </c>
      <c r="L234" s="513">
        <v>1</v>
      </c>
      <c r="M234" s="513">
        <v>1</v>
      </c>
      <c r="N234" s="514">
        <v>1</v>
      </c>
    </row>
    <row r="235" spans="1:14" s="436" customFormat="1" ht="13.5" thickBot="1">
      <c r="A235" s="1215"/>
      <c r="B235" s="1172"/>
      <c r="C235" s="1153" t="s">
        <v>118</v>
      </c>
      <c r="D235" s="1421"/>
      <c r="E235" s="1421"/>
      <c r="F235" s="1421"/>
      <c r="G235" s="1422"/>
      <c r="H235" s="895">
        <f>SUM(H234:H234)</f>
        <v>50</v>
      </c>
      <c r="I235" s="896">
        <f>SUM(I234:I234)</f>
        <v>50</v>
      </c>
      <c r="J235" s="896">
        <f>SUM(J234:J234)</f>
        <v>50</v>
      </c>
      <c r="K235" s="439"/>
      <c r="L235" s="264"/>
      <c r="M235" s="264"/>
      <c r="N235" s="265"/>
    </row>
    <row r="236" spans="1:14" s="436" customFormat="1" ht="31.5" customHeight="1" thickBot="1">
      <c r="A236" s="1215"/>
      <c r="B236" s="1172"/>
      <c r="C236" s="1165" t="s">
        <v>784</v>
      </c>
      <c r="D236" s="1340"/>
      <c r="E236" s="1341"/>
      <c r="F236" s="849" t="s">
        <v>179</v>
      </c>
      <c r="G236" s="832" t="s">
        <v>121</v>
      </c>
      <c r="H236" s="1111">
        <v>10.7</v>
      </c>
      <c r="I236" s="603">
        <v>0</v>
      </c>
      <c r="J236" s="603">
        <v>0</v>
      </c>
      <c r="K236" s="578" t="s">
        <v>760</v>
      </c>
      <c r="L236" s="513">
        <v>1</v>
      </c>
      <c r="M236" s="513"/>
      <c r="N236" s="514"/>
    </row>
    <row r="237" spans="1:14" s="436" customFormat="1" ht="13.5" thickBot="1">
      <c r="A237" s="1215"/>
      <c r="B237" s="1173"/>
      <c r="C237" s="1153" t="s">
        <v>118</v>
      </c>
      <c r="D237" s="1378"/>
      <c r="E237" s="1378"/>
      <c r="F237" s="1378"/>
      <c r="G237" s="1379"/>
      <c r="H237" s="895">
        <f>SUM(H236:H236)</f>
        <v>10.7</v>
      </c>
      <c r="I237" s="896">
        <f>SUM(I236:I236)</f>
        <v>0</v>
      </c>
      <c r="J237" s="896">
        <f>SUM(J236:J236)</f>
        <v>0</v>
      </c>
      <c r="K237" s="439"/>
      <c r="L237" s="264"/>
      <c r="M237" s="264"/>
      <c r="N237" s="265"/>
    </row>
    <row r="238" spans="1:14" s="7" customFormat="1" ht="13.5" thickBot="1">
      <c r="A238" s="1215"/>
      <c r="B238" s="1153" t="s">
        <v>119</v>
      </c>
      <c r="C238" s="1378"/>
      <c r="D238" s="1378"/>
      <c r="E238" s="1378"/>
      <c r="F238" s="1378"/>
      <c r="G238" s="1378"/>
      <c r="H238" s="766">
        <f>H233+H235+H237</f>
        <v>277.09999999999997</v>
      </c>
      <c r="I238" s="767">
        <f t="shared" ref="I238:J238" si="26">I233+I235+I237</f>
        <v>258.39999999999998</v>
      </c>
      <c r="J238" s="767">
        <f t="shared" si="26"/>
        <v>50</v>
      </c>
      <c r="K238" s="437"/>
      <c r="L238" s="209"/>
      <c r="M238" s="209"/>
      <c r="N238" s="251"/>
    </row>
    <row r="239" spans="1:14" s="7" customFormat="1" ht="12.75" customHeight="1">
      <c r="A239" s="1215"/>
      <c r="B239" s="1171" t="s">
        <v>695</v>
      </c>
      <c r="C239" s="1299" t="s">
        <v>783</v>
      </c>
      <c r="D239" s="1174"/>
      <c r="E239" s="1175"/>
      <c r="F239" s="1524" t="s">
        <v>171</v>
      </c>
      <c r="G239" s="1191" t="s">
        <v>121</v>
      </c>
      <c r="H239" s="1809">
        <v>200</v>
      </c>
      <c r="I239" s="1642">
        <v>0</v>
      </c>
      <c r="J239" s="1642">
        <v>0</v>
      </c>
      <c r="K239" s="1536" t="s">
        <v>760</v>
      </c>
      <c r="L239" s="1510">
        <v>1</v>
      </c>
      <c r="M239" s="1510"/>
      <c r="N239" s="1512"/>
    </row>
    <row r="240" spans="1:14" s="7" customFormat="1">
      <c r="A240" s="1215"/>
      <c r="B240" s="1184"/>
      <c r="C240" s="1299"/>
      <c r="D240" s="1174"/>
      <c r="E240" s="1175"/>
      <c r="F240" s="1860"/>
      <c r="G240" s="1597"/>
      <c r="H240" s="1810"/>
      <c r="I240" s="1811"/>
      <c r="J240" s="1643"/>
      <c r="K240" s="1536"/>
      <c r="L240" s="1339"/>
      <c r="M240" s="1339"/>
      <c r="N240" s="1830"/>
    </row>
    <row r="241" spans="1:14" s="319" customFormat="1" ht="18.75" customHeight="1" thickBot="1">
      <c r="A241" s="1215"/>
      <c r="B241" s="1184"/>
      <c r="C241" s="1299"/>
      <c r="D241" s="1174"/>
      <c r="E241" s="1175"/>
      <c r="F241" s="1860"/>
      <c r="G241" s="1115" t="s">
        <v>120</v>
      </c>
      <c r="H241" s="1045">
        <v>150</v>
      </c>
      <c r="I241" s="597">
        <v>180</v>
      </c>
      <c r="J241" s="1109">
        <v>0</v>
      </c>
      <c r="K241" s="1536"/>
      <c r="L241" s="1339"/>
      <c r="M241" s="1339"/>
      <c r="N241" s="1830"/>
    </row>
    <row r="242" spans="1:14" s="7" customFormat="1" ht="13.5" thickBot="1">
      <c r="A242" s="1215"/>
      <c r="B242" s="1184"/>
      <c r="C242" s="1159" t="s">
        <v>118</v>
      </c>
      <c r="D242" s="1790"/>
      <c r="E242" s="1790"/>
      <c r="F242" s="1790"/>
      <c r="G242" s="1790"/>
      <c r="H242" s="766">
        <f>SUM(H239:H241)</f>
        <v>350</v>
      </c>
      <c r="I242" s="767">
        <f t="shared" ref="I242:J242" si="27">SUM(I239:I241)</f>
        <v>180</v>
      </c>
      <c r="J242" s="767">
        <f t="shared" si="27"/>
        <v>0</v>
      </c>
      <c r="K242" s="437"/>
      <c r="L242" s="209"/>
      <c r="M242" s="209"/>
      <c r="N242" s="251"/>
    </row>
    <row r="243" spans="1:14" s="7" customFormat="1" ht="13.5" thickBot="1">
      <c r="A243" s="1783"/>
      <c r="B243" s="1020"/>
      <c r="C243" s="1185" t="s">
        <v>119</v>
      </c>
      <c r="D243" s="1211"/>
      <c r="E243" s="1211"/>
      <c r="F243" s="1211"/>
      <c r="G243" s="1212"/>
      <c r="H243" s="1019">
        <f>H242</f>
        <v>350</v>
      </c>
      <c r="I243" s="943">
        <f>I242</f>
        <v>180</v>
      </c>
      <c r="J243" s="943">
        <f>J242</f>
        <v>0</v>
      </c>
      <c r="K243" s="196"/>
      <c r="L243" s="350"/>
      <c r="M243" s="350"/>
      <c r="N243" s="257"/>
    </row>
    <row r="244" spans="1:14" s="7" customFormat="1" ht="22.5">
      <c r="A244" s="1215"/>
      <c r="B244" s="1184" t="s">
        <v>696</v>
      </c>
      <c r="C244" s="1299" t="s">
        <v>25</v>
      </c>
      <c r="D244" s="1174"/>
      <c r="E244" s="1175"/>
      <c r="F244" s="1508" t="s">
        <v>171</v>
      </c>
      <c r="G244" s="1738" t="s">
        <v>121</v>
      </c>
      <c r="H244" s="1199">
        <f>17+21.3+45</f>
        <v>83.3</v>
      </c>
      <c r="I244" s="1374">
        <v>0</v>
      </c>
      <c r="J244" s="1374">
        <v>0</v>
      </c>
      <c r="K244" s="516" t="s">
        <v>785</v>
      </c>
      <c r="L244" s="509">
        <v>1</v>
      </c>
      <c r="M244" s="509"/>
      <c r="N244" s="517"/>
    </row>
    <row r="245" spans="1:14" s="436" customFormat="1" ht="22.5">
      <c r="A245" s="1215"/>
      <c r="B245" s="1184"/>
      <c r="C245" s="1299"/>
      <c r="D245" s="1174"/>
      <c r="E245" s="1175"/>
      <c r="F245" s="1861"/>
      <c r="G245" s="1862"/>
      <c r="H245" s="1858"/>
      <c r="I245" s="1760"/>
      <c r="J245" s="1760"/>
      <c r="K245" s="516" t="s">
        <v>786</v>
      </c>
      <c r="L245" s="518">
        <v>1</v>
      </c>
      <c r="M245" s="518"/>
      <c r="N245" s="519"/>
    </row>
    <row r="246" spans="1:14" s="7" customFormat="1" ht="26.25" customHeight="1" thickBot="1">
      <c r="A246" s="1215"/>
      <c r="B246" s="1172"/>
      <c r="C246" s="1299"/>
      <c r="D246" s="1174"/>
      <c r="E246" s="1175"/>
      <c r="F246" s="1554"/>
      <c r="G246" s="1863"/>
      <c r="H246" s="1859"/>
      <c r="I246" s="1812"/>
      <c r="J246" s="1812"/>
      <c r="K246" s="516" t="s">
        <v>787</v>
      </c>
      <c r="L246" s="470">
        <v>1</v>
      </c>
      <c r="M246" s="470"/>
      <c r="N246" s="520"/>
    </row>
    <row r="247" spans="1:14" s="7" customFormat="1" ht="16.5" thickBot="1">
      <c r="A247" s="1215"/>
      <c r="B247" s="1173"/>
      <c r="C247" s="1813" t="s">
        <v>118</v>
      </c>
      <c r="D247" s="1814"/>
      <c r="E247" s="1814"/>
      <c r="F247" s="1814"/>
      <c r="G247" s="1815"/>
      <c r="H247" s="873">
        <f>SUM(H244:H246)</f>
        <v>83.3</v>
      </c>
      <c r="I247" s="874">
        <f>SUM(I244:I246)</f>
        <v>0</v>
      </c>
      <c r="J247" s="874">
        <f>SUM(J244:J246)</f>
        <v>0</v>
      </c>
      <c r="K247" s="515"/>
      <c r="L247" s="209"/>
      <c r="M247" s="209"/>
      <c r="N247" s="251"/>
    </row>
    <row r="248" spans="1:14" s="7" customFormat="1" ht="13.5" thickBot="1">
      <c r="A248" s="1215"/>
      <c r="B248" s="1153" t="s">
        <v>119</v>
      </c>
      <c r="C248" s="1319"/>
      <c r="D248" s="1319"/>
      <c r="E248" s="1319"/>
      <c r="F248" s="1319"/>
      <c r="G248" s="1530"/>
      <c r="H248" s="895">
        <f>H247</f>
        <v>83.3</v>
      </c>
      <c r="I248" s="896">
        <f>I247</f>
        <v>0</v>
      </c>
      <c r="J248" s="896">
        <f>J247</f>
        <v>0</v>
      </c>
      <c r="K248" s="439"/>
      <c r="L248" s="264"/>
      <c r="M248" s="264"/>
      <c r="N248" s="265"/>
    </row>
    <row r="249" spans="1:14" s="7" customFormat="1" ht="24" customHeight="1">
      <c r="A249" s="1215"/>
      <c r="B249" s="1213" t="s">
        <v>697</v>
      </c>
      <c r="C249" s="1309" t="s">
        <v>215</v>
      </c>
      <c r="D249" s="1348"/>
      <c r="E249" s="1348"/>
      <c r="F249" s="1147" t="s">
        <v>171</v>
      </c>
      <c r="G249" s="1149" t="s">
        <v>121</v>
      </c>
      <c r="H249" s="1151">
        <f>5</f>
        <v>5</v>
      </c>
      <c r="I249" s="1151">
        <f>H249*1.006</f>
        <v>5.03</v>
      </c>
      <c r="J249" s="1151">
        <f>I249*1.006</f>
        <v>5.0601799999999999</v>
      </c>
      <c r="K249" s="601" t="s">
        <v>379</v>
      </c>
      <c r="L249" s="461">
        <v>34</v>
      </c>
      <c r="M249" s="461">
        <v>34</v>
      </c>
      <c r="N249" s="462">
        <v>34</v>
      </c>
    </row>
    <row r="250" spans="1:14" s="7" customFormat="1" ht="33" customHeight="1" thickBot="1">
      <c r="A250" s="1215"/>
      <c r="B250" s="1210"/>
      <c r="C250" s="1504"/>
      <c r="D250" s="1505"/>
      <c r="E250" s="1505"/>
      <c r="F250" s="1183"/>
      <c r="G250" s="1362"/>
      <c r="H250" s="1183"/>
      <c r="I250" s="1354"/>
      <c r="J250" s="1354"/>
      <c r="K250" s="1018" t="s">
        <v>380</v>
      </c>
      <c r="L250" s="478">
        <v>10</v>
      </c>
      <c r="M250" s="478">
        <v>10</v>
      </c>
      <c r="N250" s="463">
        <v>10</v>
      </c>
    </row>
    <row r="251" spans="1:14" s="7" customFormat="1" ht="13.5" thickBot="1">
      <c r="A251" s="1215"/>
      <c r="B251" s="1172"/>
      <c r="C251" s="1444" t="s">
        <v>118</v>
      </c>
      <c r="D251" s="1445"/>
      <c r="E251" s="1445"/>
      <c r="F251" s="1445"/>
      <c r="G251" s="1559"/>
      <c r="H251" s="940">
        <f>SUM(H249:H250)</f>
        <v>5</v>
      </c>
      <c r="I251" s="943">
        <f>SUM(I249:I250)</f>
        <v>5.03</v>
      </c>
      <c r="J251" s="943">
        <f>SUM(J249:J250)</f>
        <v>5.0601799999999999</v>
      </c>
      <c r="K251" s="196"/>
      <c r="L251" s="350"/>
      <c r="M251" s="350"/>
      <c r="N251" s="257"/>
    </row>
    <row r="252" spans="1:14" s="7" customFormat="1" ht="24" customHeight="1" thickBot="1">
      <c r="A252" s="1215"/>
      <c r="B252" s="1172"/>
      <c r="C252" s="1174" t="s">
        <v>162</v>
      </c>
      <c r="D252" s="1174"/>
      <c r="E252" s="1175"/>
      <c r="F252" s="961" t="s">
        <v>171</v>
      </c>
      <c r="G252" s="836" t="s">
        <v>121</v>
      </c>
      <c r="H252" s="840">
        <v>20</v>
      </c>
      <c r="I252" s="840">
        <f>H252*1.006</f>
        <v>20.12</v>
      </c>
      <c r="J252" s="840">
        <f>I252*1.006</f>
        <v>20.24072</v>
      </c>
      <c r="K252" s="507" t="s">
        <v>796</v>
      </c>
      <c r="L252" s="467">
        <v>10</v>
      </c>
      <c r="M252" s="467">
        <v>10</v>
      </c>
      <c r="N252" s="468">
        <v>10</v>
      </c>
    </row>
    <row r="253" spans="1:14" s="7" customFormat="1" ht="13.5" thickBot="1">
      <c r="A253" s="1215"/>
      <c r="B253" s="1172"/>
      <c r="C253" s="1185" t="s">
        <v>118</v>
      </c>
      <c r="D253" s="1378"/>
      <c r="E253" s="1378"/>
      <c r="F253" s="1378"/>
      <c r="G253" s="1379"/>
      <c r="H253" s="873">
        <f>SUM(H252:H252)</f>
        <v>20</v>
      </c>
      <c r="I253" s="874">
        <f>SUM(I252:I252)</f>
        <v>20.12</v>
      </c>
      <c r="J253" s="874">
        <f>SUM(J252:J252)</f>
        <v>20.24072</v>
      </c>
      <c r="K253" s="437"/>
      <c r="L253" s="209"/>
      <c r="M253" s="209"/>
      <c r="N253" s="251"/>
    </row>
    <row r="254" spans="1:14" s="7" customFormat="1" ht="36.75" customHeight="1" thickBot="1">
      <c r="A254" s="1215"/>
      <c r="B254" s="1172"/>
      <c r="C254" s="1174" t="s">
        <v>408</v>
      </c>
      <c r="D254" s="1174"/>
      <c r="E254" s="1175"/>
      <c r="F254" s="961" t="s">
        <v>171</v>
      </c>
      <c r="G254" s="836" t="s">
        <v>121</v>
      </c>
      <c r="H254" s="962">
        <v>20</v>
      </c>
      <c r="I254" s="962">
        <f>H254*1.006</f>
        <v>20.12</v>
      </c>
      <c r="J254" s="962">
        <f>I254*1.006</f>
        <v>20.24072</v>
      </c>
      <c r="K254" s="731" t="s">
        <v>458</v>
      </c>
      <c r="L254" s="467">
        <v>3</v>
      </c>
      <c r="M254" s="467">
        <v>3</v>
      </c>
      <c r="N254" s="468">
        <v>3</v>
      </c>
    </row>
    <row r="255" spans="1:14" s="7" customFormat="1" ht="13.5" thickBot="1">
      <c r="A255" s="1215"/>
      <c r="B255" s="1172"/>
      <c r="C255" s="1802" t="s">
        <v>118</v>
      </c>
      <c r="D255" s="1803"/>
      <c r="E255" s="1803"/>
      <c r="F255" s="1803"/>
      <c r="G255" s="1804"/>
      <c r="H255" s="873">
        <f>SUM(H254:H254)</f>
        <v>20</v>
      </c>
      <c r="I255" s="874">
        <f>SUM(I254:I254)</f>
        <v>20.12</v>
      </c>
      <c r="J255" s="874">
        <f>SUM(J254:J254)</f>
        <v>20.24072</v>
      </c>
      <c r="K255" s="139"/>
      <c r="L255" s="209"/>
      <c r="M255" s="209"/>
      <c r="N255" s="251"/>
    </row>
    <row r="256" spans="1:14" s="436" customFormat="1" ht="36.75" customHeight="1" thickBot="1">
      <c r="A256" s="1215"/>
      <c r="B256" s="1172"/>
      <c r="C256" s="1174" t="s">
        <v>817</v>
      </c>
      <c r="D256" s="1174"/>
      <c r="E256" s="1175"/>
      <c r="F256" s="961" t="s">
        <v>171</v>
      </c>
      <c r="G256" s="836" t="s">
        <v>121</v>
      </c>
      <c r="H256" s="962">
        <f>125+105.7</f>
        <v>230.7</v>
      </c>
      <c r="I256" s="962">
        <f>H256*1.006</f>
        <v>232.08419999999998</v>
      </c>
      <c r="J256" s="962">
        <f>I256*1.006</f>
        <v>233.47670519999997</v>
      </c>
      <c r="K256" s="507" t="s">
        <v>788</v>
      </c>
      <c r="L256" s="467">
        <v>8</v>
      </c>
      <c r="M256" s="467">
        <v>8</v>
      </c>
      <c r="N256" s="468">
        <v>8</v>
      </c>
    </row>
    <row r="257" spans="1:14" s="436" customFormat="1" ht="13.5" thickBot="1">
      <c r="A257" s="1215"/>
      <c r="B257" s="1173"/>
      <c r="C257" s="1802" t="s">
        <v>118</v>
      </c>
      <c r="D257" s="1805"/>
      <c r="E257" s="1805"/>
      <c r="F257" s="1805"/>
      <c r="G257" s="1806"/>
      <c r="H257" s="873">
        <f>SUM(H256:H256)</f>
        <v>230.7</v>
      </c>
      <c r="I257" s="873">
        <f t="shared" ref="I257:J257" si="28">SUM(I256:I256)</f>
        <v>232.08419999999998</v>
      </c>
      <c r="J257" s="873">
        <f t="shared" si="28"/>
        <v>233.47670519999997</v>
      </c>
      <c r="K257" s="437"/>
      <c r="L257" s="209"/>
      <c r="M257" s="209"/>
      <c r="N257" s="251"/>
    </row>
    <row r="258" spans="1:14" s="7" customFormat="1" ht="13.5" thickBot="1">
      <c r="A258" s="1215"/>
      <c r="B258" s="1153" t="s">
        <v>119</v>
      </c>
      <c r="C258" s="1211"/>
      <c r="D258" s="1211"/>
      <c r="E258" s="1211"/>
      <c r="F258" s="1211"/>
      <c r="G258" s="1212"/>
      <c r="H258" s="873">
        <f>H255+H251+H253+H257</f>
        <v>275.7</v>
      </c>
      <c r="I258" s="873">
        <f t="shared" ref="I258:J258" si="29">I255+I251+I253+I257</f>
        <v>277.35419999999999</v>
      </c>
      <c r="J258" s="873">
        <f t="shared" si="29"/>
        <v>279.01832519999994</v>
      </c>
      <c r="K258" s="158"/>
      <c r="L258" s="260"/>
      <c r="M258" s="260"/>
      <c r="N258" s="261"/>
    </row>
    <row r="259" spans="1:14" s="7" customFormat="1" ht="22.5">
      <c r="A259" s="1215"/>
      <c r="B259" s="1171" t="s">
        <v>827</v>
      </c>
      <c r="C259" s="1165" t="s">
        <v>13</v>
      </c>
      <c r="D259" s="1166"/>
      <c r="E259" s="1167"/>
      <c r="F259" s="1507" t="s">
        <v>171</v>
      </c>
      <c r="G259" s="1197" t="s">
        <v>121</v>
      </c>
      <c r="H259" s="1199">
        <v>70</v>
      </c>
      <c r="I259" s="1199">
        <v>70</v>
      </c>
      <c r="J259" s="1199">
        <v>70</v>
      </c>
      <c r="K259" s="497" t="s">
        <v>461</v>
      </c>
      <c r="L259" s="467">
        <v>20</v>
      </c>
      <c r="M259" s="467">
        <v>20</v>
      </c>
      <c r="N259" s="468">
        <v>20</v>
      </c>
    </row>
    <row r="260" spans="1:14" s="319" customFormat="1" ht="20.25" customHeight="1">
      <c r="A260" s="1215"/>
      <c r="B260" s="1184"/>
      <c r="C260" s="1299"/>
      <c r="D260" s="1322"/>
      <c r="E260" s="1323"/>
      <c r="F260" s="1508"/>
      <c r="G260" s="1738"/>
      <c r="H260" s="1739"/>
      <c r="I260" s="1739"/>
      <c r="J260" s="1739"/>
      <c r="K260" s="590" t="s">
        <v>459</v>
      </c>
      <c r="L260" s="472">
        <v>90</v>
      </c>
      <c r="M260" s="472">
        <v>95</v>
      </c>
      <c r="N260" s="997">
        <v>95</v>
      </c>
    </row>
    <row r="261" spans="1:14" s="7" customFormat="1" ht="20.25" customHeight="1" thickBot="1">
      <c r="A261" s="1215"/>
      <c r="B261" s="1172"/>
      <c r="C261" s="1452"/>
      <c r="D261" s="1574"/>
      <c r="E261" s="1323"/>
      <c r="F261" s="1345"/>
      <c r="G261" s="1346"/>
      <c r="H261" s="1347"/>
      <c r="I261" s="1146"/>
      <c r="J261" s="1146"/>
      <c r="K261" s="608" t="s">
        <v>460</v>
      </c>
      <c r="L261" s="470">
        <v>10</v>
      </c>
      <c r="M261" s="470">
        <v>5</v>
      </c>
      <c r="N261" s="520">
        <v>5</v>
      </c>
    </row>
    <row r="262" spans="1:14" s="7" customFormat="1" ht="13.5" thickBot="1">
      <c r="A262" s="1215"/>
      <c r="B262" s="1172"/>
      <c r="C262" s="1159" t="s">
        <v>118</v>
      </c>
      <c r="D262" s="1319"/>
      <c r="E262" s="1319"/>
      <c r="F262" s="1319"/>
      <c r="G262" s="1530"/>
      <c r="H262" s="873">
        <f>SUM(H259:H261)</f>
        <v>70</v>
      </c>
      <c r="I262" s="874">
        <f>SUM(I259:I261)</f>
        <v>70</v>
      </c>
      <c r="J262" s="874">
        <f>SUM(J259:J261)</f>
        <v>70</v>
      </c>
      <c r="K262" s="139"/>
      <c r="L262" s="209"/>
      <c r="M262" s="209"/>
      <c r="N262" s="251"/>
    </row>
    <row r="263" spans="1:14" s="7" customFormat="1" ht="13.5" thickBot="1">
      <c r="A263" s="1216"/>
      <c r="B263" s="1159" t="s">
        <v>119</v>
      </c>
      <c r="C263" s="1319"/>
      <c r="D263" s="1319"/>
      <c r="E263" s="1319"/>
      <c r="F263" s="1319"/>
      <c r="G263" s="1530"/>
      <c r="H263" s="873">
        <f>H262</f>
        <v>70</v>
      </c>
      <c r="I263" s="874">
        <f>I262</f>
        <v>70</v>
      </c>
      <c r="J263" s="874">
        <f>J262</f>
        <v>70</v>
      </c>
      <c r="K263" s="158"/>
      <c r="L263" s="260"/>
      <c r="M263" s="260"/>
      <c r="N263" s="261"/>
    </row>
    <row r="264" spans="1:14" s="7" customFormat="1" ht="12" customHeight="1" thickBot="1">
      <c r="A264" s="1297" t="s">
        <v>303</v>
      </c>
      <c r="B264" s="1221"/>
      <c r="C264" s="1221"/>
      <c r="D264" s="1221"/>
      <c r="E264" s="1221"/>
      <c r="F264" s="1221"/>
      <c r="G264" s="1222"/>
      <c r="H264" s="898">
        <f>H263+H258+H248+H243+H238+H228+H202+H216</f>
        <v>6307.4</v>
      </c>
      <c r="I264" s="898">
        <f>I263+I258+I248+I243+I238+I228+I202+I216</f>
        <v>3124.8541999999998</v>
      </c>
      <c r="J264" s="898">
        <f>J263+J258+J248+J243+J238+J228+J202+J216</f>
        <v>878.01832519999994</v>
      </c>
      <c r="K264" s="196"/>
      <c r="L264" s="256"/>
      <c r="M264" s="256"/>
      <c r="N264" s="257"/>
    </row>
    <row r="265" spans="1:14" s="7" customFormat="1" ht="20.25" customHeight="1">
      <c r="A265" s="1171" t="s">
        <v>159</v>
      </c>
      <c r="B265" s="1171" t="s">
        <v>157</v>
      </c>
      <c r="C265" s="1174" t="s">
        <v>158</v>
      </c>
      <c r="D265" s="1174"/>
      <c r="E265" s="1174"/>
      <c r="F265" s="844" t="s">
        <v>171</v>
      </c>
      <c r="G265" s="836" t="s">
        <v>121</v>
      </c>
      <c r="H265" s="769">
        <v>18</v>
      </c>
      <c r="I265" s="603">
        <v>18</v>
      </c>
      <c r="J265" s="603">
        <v>18</v>
      </c>
      <c r="K265" s="987" t="s">
        <v>342</v>
      </c>
      <c r="L265" s="774">
        <v>25</v>
      </c>
      <c r="M265" s="774">
        <v>20</v>
      </c>
      <c r="N265" s="775">
        <v>20</v>
      </c>
    </row>
    <row r="266" spans="1:14" s="7" customFormat="1" ht="23.25" thickBot="1">
      <c r="A266" s="1172"/>
      <c r="B266" s="1172"/>
      <c r="C266" s="1174"/>
      <c r="D266" s="1174"/>
      <c r="E266" s="1174"/>
      <c r="F266" s="967" t="s">
        <v>171</v>
      </c>
      <c r="G266" s="841" t="s">
        <v>120</v>
      </c>
      <c r="H266" s="988">
        <v>980</v>
      </c>
      <c r="I266" s="609">
        <v>750</v>
      </c>
      <c r="J266" s="609">
        <v>730</v>
      </c>
      <c r="K266" s="501" t="s">
        <v>343</v>
      </c>
      <c r="L266" s="989">
        <v>130</v>
      </c>
      <c r="M266" s="989">
        <v>135</v>
      </c>
      <c r="N266" s="990">
        <v>140</v>
      </c>
    </row>
    <row r="267" spans="1:14" s="7" customFormat="1" ht="13.5" thickBot="1">
      <c r="A267" s="1172"/>
      <c r="B267" s="1172"/>
      <c r="C267" s="1153" t="s">
        <v>118</v>
      </c>
      <c r="D267" s="1372"/>
      <c r="E267" s="1372"/>
      <c r="F267" s="1372"/>
      <c r="G267" s="1373"/>
      <c r="H267" s="873">
        <f>SUM(H265:H266)</f>
        <v>998</v>
      </c>
      <c r="I267" s="874">
        <f>SUM(I265:I266)</f>
        <v>768</v>
      </c>
      <c r="J267" s="874">
        <f>SUM(J265:J266)</f>
        <v>748</v>
      </c>
      <c r="K267" s="139"/>
      <c r="L267" s="209"/>
      <c r="M267" s="209"/>
      <c r="N267" s="251"/>
    </row>
    <row r="268" spans="1:14" s="7" customFormat="1" ht="23.25" thickBot="1">
      <c r="A268" s="1172"/>
      <c r="B268" s="1172"/>
      <c r="C268" s="1165" t="s">
        <v>757</v>
      </c>
      <c r="D268" s="1166"/>
      <c r="E268" s="1167"/>
      <c r="F268" s="850" t="s">
        <v>171</v>
      </c>
      <c r="G268" s="862" t="s">
        <v>121</v>
      </c>
      <c r="H268" s="991">
        <v>30</v>
      </c>
      <c r="I268" s="991">
        <v>30</v>
      </c>
      <c r="J268" s="991">
        <v>30</v>
      </c>
      <c r="K268" s="992" t="s">
        <v>49</v>
      </c>
      <c r="L268" s="526">
        <v>5</v>
      </c>
      <c r="M268" s="526">
        <v>5</v>
      </c>
      <c r="N268" s="993">
        <v>5</v>
      </c>
    </row>
    <row r="269" spans="1:14" s="7" customFormat="1" ht="13.5" thickBot="1">
      <c r="A269" s="1172"/>
      <c r="B269" s="1172"/>
      <c r="C269" s="1153" t="s">
        <v>118</v>
      </c>
      <c r="D269" s="1372"/>
      <c r="E269" s="1372"/>
      <c r="F269" s="1372"/>
      <c r="G269" s="1373"/>
      <c r="H269" s="873">
        <f>SUM(H268)</f>
        <v>30</v>
      </c>
      <c r="I269" s="874">
        <f>SUM(I268)</f>
        <v>30</v>
      </c>
      <c r="J269" s="874">
        <f>SUM(J268)</f>
        <v>30</v>
      </c>
      <c r="K269" s="105"/>
      <c r="L269" s="258"/>
      <c r="M269" s="258"/>
      <c r="N269" s="259"/>
    </row>
    <row r="270" spans="1:14" s="7" customFormat="1" ht="38.25" customHeight="1" thickBot="1">
      <c r="A270" s="1172"/>
      <c r="B270" s="1172"/>
      <c r="C270" s="1165" t="s">
        <v>758</v>
      </c>
      <c r="D270" s="1166"/>
      <c r="E270" s="1167"/>
      <c r="F270" s="850" t="s">
        <v>171</v>
      </c>
      <c r="G270" s="862" t="s">
        <v>121</v>
      </c>
      <c r="H270" s="857">
        <v>5</v>
      </c>
      <c r="I270" s="611">
        <v>5</v>
      </c>
      <c r="J270" s="611">
        <v>5</v>
      </c>
      <c r="K270" s="812" t="s">
        <v>759</v>
      </c>
      <c r="L270" s="472">
        <v>4</v>
      </c>
      <c r="M270" s="472">
        <v>4</v>
      </c>
      <c r="N270" s="997">
        <v>4</v>
      </c>
    </row>
    <row r="271" spans="1:14" s="7" customFormat="1" ht="13.5" thickBot="1">
      <c r="A271" s="1172"/>
      <c r="B271" s="1172"/>
      <c r="C271" s="1159" t="s">
        <v>118</v>
      </c>
      <c r="D271" s="1264"/>
      <c r="E271" s="1264"/>
      <c r="F271" s="1264"/>
      <c r="G271" s="1265"/>
      <c r="H271" s="219">
        <f>SUM(H270)</f>
        <v>5</v>
      </c>
      <c r="I271" s="213">
        <f>SUM(I270)</f>
        <v>5</v>
      </c>
      <c r="J271" s="213">
        <f>SUM(J270)</f>
        <v>5</v>
      </c>
      <c r="K271" s="139"/>
      <c r="L271" s="209"/>
      <c r="M271" s="209"/>
      <c r="N271" s="251"/>
    </row>
    <row r="272" spans="1:14" s="7" customFormat="1" ht="13.5" thickBot="1">
      <c r="A272" s="1172"/>
      <c r="B272" s="1153" t="s">
        <v>119</v>
      </c>
      <c r="C272" s="1305"/>
      <c r="D272" s="1305"/>
      <c r="E272" s="1305"/>
      <c r="F272" s="1305"/>
      <c r="G272" s="1453"/>
      <c r="H272" s="175">
        <f>H267+H269+H271</f>
        <v>1033</v>
      </c>
      <c r="I272" s="161">
        <f>I267+I269+I271</f>
        <v>803</v>
      </c>
      <c r="J272" s="161">
        <f>J267+J269+J271</f>
        <v>783</v>
      </c>
      <c r="K272" s="139"/>
      <c r="L272" s="209"/>
      <c r="M272" s="209"/>
      <c r="N272" s="251"/>
    </row>
    <row r="273" spans="1:15" s="10" customFormat="1" ht="13.5" thickBot="1">
      <c r="A273" s="1217" t="s">
        <v>16</v>
      </c>
      <c r="B273" s="1370"/>
      <c r="C273" s="1370"/>
      <c r="D273" s="1370"/>
      <c r="E273" s="1370"/>
      <c r="F273" s="1370"/>
      <c r="G273" s="1371"/>
      <c r="H273" s="187">
        <f>H272</f>
        <v>1033</v>
      </c>
      <c r="I273" s="187">
        <f>I272</f>
        <v>803</v>
      </c>
      <c r="J273" s="187">
        <f>J272</f>
        <v>783</v>
      </c>
      <c r="K273" s="224"/>
      <c r="L273" s="296"/>
      <c r="M273" s="296"/>
      <c r="N273" s="297"/>
    </row>
    <row r="274" spans="1:15" s="10" customFormat="1" ht="13.5" thickBot="1">
      <c r="A274" s="1203" t="s">
        <v>17</v>
      </c>
      <c r="B274" s="1370"/>
      <c r="C274" s="1370"/>
      <c r="D274" s="1370"/>
      <c r="E274" s="1370"/>
      <c r="F274" s="1370"/>
      <c r="G274" s="1371"/>
      <c r="H274" s="226">
        <f>H120+H264+H273</f>
        <v>13927.9</v>
      </c>
      <c r="I274" s="91">
        <f>I120+I264+I273</f>
        <v>9877.6149999999998</v>
      </c>
      <c r="J274" s="91">
        <f>J120+J264+J273</f>
        <v>7811.4691699999994</v>
      </c>
      <c r="K274" s="79"/>
      <c r="L274" s="268"/>
      <c r="M274" s="268"/>
      <c r="N274" s="269"/>
    </row>
    <row r="275" spans="1:15" s="10" customFormat="1" ht="10.5" customHeight="1">
      <c r="A275" s="86"/>
      <c r="B275" s="104"/>
      <c r="C275" s="104"/>
      <c r="D275" s="1130"/>
      <c r="E275" s="32"/>
      <c r="F275" s="32" t="s">
        <v>11</v>
      </c>
      <c r="G275" s="32"/>
      <c r="H275" s="32"/>
      <c r="I275" s="56"/>
      <c r="J275" s="56"/>
      <c r="K275" s="56"/>
      <c r="L275" s="270"/>
      <c r="M275" s="270"/>
      <c r="N275" s="270"/>
    </row>
    <row r="276" spans="1:15" s="7" customFormat="1" ht="10.5" customHeight="1">
      <c r="A276" s="36"/>
      <c r="B276" s="29"/>
      <c r="C276" s="87"/>
      <c r="D276" s="40"/>
      <c r="E276" s="41"/>
      <c r="F276" s="41"/>
      <c r="G276" s="81" t="s">
        <v>124</v>
      </c>
      <c r="H276" s="450">
        <f>SUMIF($G$8:$G$273,"SB",H$8:H$273)</f>
        <v>8345.1</v>
      </c>
      <c r="I276" s="450">
        <f>SUMIF($G$8:$G$273,"SB",I$8:I$273)</f>
        <v>5000.7926000000007</v>
      </c>
      <c r="J276" s="450">
        <f>SUMIF($G$8:$G$273,"SB",J$8:J$273)</f>
        <v>4497.2033555999997</v>
      </c>
      <c r="K276" s="318"/>
      <c r="L276" s="271"/>
      <c r="M276" s="271"/>
      <c r="N276" s="271"/>
    </row>
    <row r="277" spans="1:15" s="7" customFormat="1" ht="10.5" customHeight="1">
      <c r="A277" s="36"/>
      <c r="B277" s="127"/>
      <c r="C277" s="55"/>
      <c r="D277" s="40"/>
      <c r="E277" s="41"/>
      <c r="F277" s="41"/>
      <c r="G277" s="81" t="s">
        <v>125</v>
      </c>
      <c r="H277" s="450">
        <f>SUMIF($G$8:$G$273,"VB-STD",H$8:H$273)</f>
        <v>0</v>
      </c>
      <c r="I277" s="450">
        <f>SUMIF($G$8:$G$273,"VB-STD",I$8:I$273)</f>
        <v>0</v>
      </c>
      <c r="J277" s="450">
        <f>SUMIF($G$8:$G$273,"VB-STD",J$8:J$273)</f>
        <v>0</v>
      </c>
      <c r="K277" s="195"/>
      <c r="L277" s="252"/>
      <c r="M277" s="252"/>
      <c r="N277" s="252"/>
    </row>
    <row r="278" spans="1:15" s="7" customFormat="1" ht="10.5" customHeight="1">
      <c r="A278" s="36"/>
      <c r="B278" s="127"/>
      <c r="C278" s="55"/>
      <c r="D278" s="18"/>
      <c r="E278" s="19"/>
      <c r="F278" s="19"/>
      <c r="G278" s="81" t="s">
        <v>126</v>
      </c>
      <c r="H278" s="450">
        <f>SUMIF($G$8:$G$273,"ES",H$8:H$273)</f>
        <v>940.1</v>
      </c>
      <c r="I278" s="450">
        <f>SUMIF($G$8:$G$273,"ES",I$8:I$273)</f>
        <v>492.1</v>
      </c>
      <c r="J278" s="450">
        <f>SUMIF($G$8:$G$273,"ES",J$8:J$273)</f>
        <v>827.5</v>
      </c>
      <c r="K278" s="195"/>
      <c r="L278" s="252"/>
      <c r="M278" s="252"/>
      <c r="N278" s="252"/>
    </row>
    <row r="279" spans="1:15" s="7" customFormat="1" ht="10.5" customHeight="1">
      <c r="A279" s="36"/>
      <c r="B279" s="127"/>
      <c r="C279" s="55"/>
      <c r="D279" s="18"/>
      <c r="E279" s="19"/>
      <c r="F279" s="19"/>
      <c r="G279" s="81" t="s">
        <v>127</v>
      </c>
      <c r="H279" s="450">
        <f>SUMIF($G$8:$G$273,"SAARS",H$8:H$273)</f>
        <v>0</v>
      </c>
      <c r="I279" s="450">
        <f>SUMIF($G$8:$G$273,"SAARS",I$8:I$273)</f>
        <v>0</v>
      </c>
      <c r="J279" s="450">
        <f>SUMIF($G$8:$G$273,"SAARS",J$8:J$273)</f>
        <v>0</v>
      </c>
      <c r="K279" s="195"/>
      <c r="L279" s="252"/>
      <c r="M279" s="252"/>
      <c r="N279" s="252"/>
    </row>
    <row r="280" spans="1:15" s="7" customFormat="1" ht="10.5" customHeight="1">
      <c r="A280" s="36"/>
      <c r="B280" s="127"/>
      <c r="C280" s="55"/>
      <c r="D280" s="18"/>
      <c r="E280" s="19"/>
      <c r="F280" s="19"/>
      <c r="G280" s="81" t="s">
        <v>128</v>
      </c>
      <c r="H280" s="450">
        <f>SUMIF($G$8:$G$273,"KPPP",H$8:H$273)</f>
        <v>2131.5</v>
      </c>
      <c r="I280" s="450">
        <f>SUMIF($G$8:$G$273,"KPPP",I$8:I$273)</f>
        <v>2266.3224</v>
      </c>
      <c r="J280" s="450">
        <f>SUMIF($G$8:$G$273,"KPPP",J$8:J$273)</f>
        <v>1752.7658144</v>
      </c>
      <c r="K280" s="195"/>
      <c r="L280" s="252"/>
      <c r="M280" s="252"/>
      <c r="N280" s="252"/>
    </row>
    <row r="281" spans="1:15" s="7" customFormat="1" ht="15" customHeight="1">
      <c r="A281" s="36"/>
      <c r="B281" s="127"/>
      <c r="C281" s="55"/>
      <c r="D281" s="18"/>
      <c r="E281" s="19"/>
      <c r="F281" s="19"/>
      <c r="G281" s="82" t="s">
        <v>129</v>
      </c>
      <c r="H281" s="450">
        <f>SUMIF($G$8:$G$273,"UF",H$8:H$273)</f>
        <v>0</v>
      </c>
      <c r="I281" s="450">
        <f>SUMIF($G$8:$G$273,"UF",I$8:I$273)</f>
        <v>0</v>
      </c>
      <c r="J281" s="450">
        <f>SUMIF($G$8:$G$273,"UF",J$8:J$273)</f>
        <v>0</v>
      </c>
      <c r="K281" s="195"/>
      <c r="L281" s="252"/>
      <c r="M281" s="252"/>
      <c r="N281" s="252"/>
    </row>
    <row r="282" spans="1:15" s="7" customFormat="1" ht="10.5" customHeight="1">
      <c r="A282" s="36"/>
      <c r="B282" s="127"/>
      <c r="C282" s="55"/>
      <c r="D282" s="18"/>
      <c r="E282" s="19"/>
      <c r="F282" s="19"/>
      <c r="G282" s="81" t="s">
        <v>130</v>
      </c>
      <c r="H282" s="450">
        <f>SUMIF($G$8:$G$273,"VB",H$8:H$273)</f>
        <v>2511.1999999999998</v>
      </c>
      <c r="I282" s="450">
        <f>SUMIF($G$8:$G$273,"VB",I$8:I$273)</f>
        <v>2118.4</v>
      </c>
      <c r="J282" s="450">
        <f>SUMIF($G$8:$G$273,"VB",J$8:J$273)</f>
        <v>734</v>
      </c>
      <c r="K282" s="195"/>
      <c r="L282" s="252"/>
      <c r="M282" s="252"/>
      <c r="N282" s="252"/>
    </row>
    <row r="283" spans="1:15" s="7" customFormat="1" ht="10.5" customHeight="1">
      <c r="A283" s="36"/>
      <c r="B283" s="127"/>
      <c r="C283" s="55"/>
      <c r="D283" s="18"/>
      <c r="E283" s="19"/>
      <c r="F283" s="19"/>
      <c r="G283" s="81" t="s">
        <v>131</v>
      </c>
      <c r="H283" s="450">
        <f>SUMIF($G$8:$G$273,"SL",H$8:H$273)</f>
        <v>0</v>
      </c>
      <c r="I283" s="450">
        <f>SUMIF($G$8:$G$273,"SL",I$8:I$273)</f>
        <v>0</v>
      </c>
      <c r="J283" s="450">
        <f>SUMIF($G$8:$G$273,"SL",J$8:J$273)</f>
        <v>0</v>
      </c>
      <c r="K283" s="195"/>
      <c r="L283" s="252"/>
      <c r="M283" s="252"/>
      <c r="N283" s="252"/>
    </row>
    <row r="284" spans="1:15" s="7" customFormat="1" ht="10.5" customHeight="1">
      <c r="A284" s="77"/>
      <c r="B284" s="30"/>
      <c r="C284" s="76"/>
      <c r="D284" s="18"/>
      <c r="E284" s="19"/>
      <c r="F284" s="19"/>
      <c r="G284" s="81" t="s">
        <v>132</v>
      </c>
      <c r="H284" s="450">
        <f>SUMIF($G$8:$G$273,"PL",H$8:H$273)</f>
        <v>0</v>
      </c>
      <c r="I284" s="450">
        <f>SUMIF($G$8:$G$273,"PL",I$8:I$273)</f>
        <v>0</v>
      </c>
      <c r="J284" s="450">
        <f>SUMIF($G$8:$G$273,"PL",J$8:J$273)</f>
        <v>0</v>
      </c>
      <c r="K284" s="195"/>
      <c r="L284" s="252"/>
      <c r="M284" s="252"/>
      <c r="N284" s="252"/>
    </row>
    <row r="285" spans="1:15" s="7" customFormat="1" ht="10.5" customHeight="1">
      <c r="A285" s="77"/>
      <c r="B285" s="30"/>
      <c r="C285" s="76"/>
      <c r="D285" s="40"/>
      <c r="E285" s="41"/>
      <c r="F285" s="41"/>
      <c r="G285" s="81" t="s">
        <v>133</v>
      </c>
      <c r="H285" s="450">
        <f>SUMIF($G$8:$G$273,"KL",H$8:H$273)</f>
        <v>0</v>
      </c>
      <c r="I285" s="450">
        <f>SUMIF($G$8:$G$273,"KL",I$8:I$273)</f>
        <v>0</v>
      </c>
      <c r="J285" s="450">
        <f>SUMIF($G$8:$G$273,"KL",J$8:J$273)</f>
        <v>0</v>
      </c>
      <c r="K285" s="318"/>
      <c r="L285" s="271"/>
      <c r="M285" s="271"/>
      <c r="N285" s="271"/>
    </row>
    <row r="286" spans="1:15" s="7" customFormat="1" ht="10.5" customHeight="1">
      <c r="A286" s="36"/>
      <c r="B286" s="1132"/>
      <c r="C286" s="1133"/>
      <c r="D286" s="40"/>
      <c r="E286" s="41"/>
      <c r="F286" s="41"/>
      <c r="G286" s="81" t="s">
        <v>134</v>
      </c>
      <c r="H286" s="450">
        <f>SUMIF($G$8:$G$273,"TPP",H$8:H$273)</f>
        <v>0</v>
      </c>
      <c r="I286" s="450">
        <f>SUMIF($G$8:$G$273,"TPP",I$8:I$273)</f>
        <v>0</v>
      </c>
      <c r="J286" s="450">
        <f>SUMIF($G$8:$G$273,"TPP",J$8:J$273)</f>
        <v>0</v>
      </c>
      <c r="K286" s="195"/>
      <c r="L286" s="252"/>
      <c r="M286" s="252"/>
      <c r="N286" s="252"/>
    </row>
    <row r="287" spans="1:15" s="11" customFormat="1" ht="10.5" customHeight="1">
      <c r="A287" s="37"/>
      <c r="B287" s="12"/>
      <c r="C287" s="12"/>
      <c r="D287" s="12"/>
      <c r="E287" s="12"/>
      <c r="F287" s="12"/>
      <c r="G287" s="83" t="s">
        <v>17</v>
      </c>
      <c r="H287" s="1137">
        <f>SUM(H276:H286)</f>
        <v>13927.900000000001</v>
      </c>
      <c r="I287" s="1137">
        <f>SUM(I276:I286)</f>
        <v>9877.6150000000016</v>
      </c>
      <c r="J287" s="1137">
        <f>SUM(J276:J286)</f>
        <v>7811.4691699999994</v>
      </c>
      <c r="K287" s="57"/>
      <c r="L287" s="298"/>
      <c r="M287" s="1135"/>
      <c r="N287" s="1135"/>
      <c r="O287" s="14"/>
    </row>
    <row r="288" spans="1:15" s="11" customFormat="1">
      <c r="A288" s="37"/>
      <c r="B288" s="12"/>
      <c r="C288" s="12"/>
      <c r="D288" s="12"/>
      <c r="E288" s="12"/>
      <c r="F288" s="12"/>
      <c r="G288" s="13"/>
      <c r="H288" s="12"/>
      <c r="I288" s="64"/>
      <c r="J288" s="65"/>
      <c r="K288" s="65"/>
      <c r="L288" s="291"/>
      <c r="M288" s="1136"/>
      <c r="N288" s="1136"/>
      <c r="O288" s="14"/>
    </row>
    <row r="289" spans="1:15" s="11" customFormat="1">
      <c r="A289" s="38"/>
      <c r="B289" s="12"/>
      <c r="C289" s="12"/>
      <c r="D289" s="12"/>
      <c r="E289" s="12"/>
      <c r="F289" s="12"/>
      <c r="G289" s="13"/>
      <c r="H289" s="12"/>
      <c r="L289" s="12"/>
      <c r="M289" s="37"/>
      <c r="N289" s="37"/>
      <c r="O289" s="14"/>
    </row>
    <row r="290" spans="1:15" s="11" customFormat="1">
      <c r="A290" s="38"/>
      <c r="B290" s="12"/>
      <c r="C290" s="12"/>
      <c r="D290" s="12"/>
      <c r="E290" s="12"/>
      <c r="F290" s="12"/>
      <c r="G290" s="13"/>
      <c r="H290" s="12"/>
      <c r="L290" s="12"/>
      <c r="M290" s="37"/>
      <c r="N290" s="37"/>
      <c r="O290" s="14"/>
    </row>
    <row r="291" spans="1:15" s="11" customFormat="1">
      <c r="A291" s="38"/>
      <c r="B291" s="12"/>
      <c r="C291" s="12"/>
      <c r="D291" s="12"/>
      <c r="E291" s="12"/>
      <c r="F291" s="12"/>
      <c r="G291" s="13"/>
      <c r="H291" s="12"/>
      <c r="L291" s="12"/>
      <c r="M291" s="12"/>
      <c r="N291" s="12"/>
    </row>
    <row r="292" spans="1:15" s="11" customFormat="1">
      <c r="A292" s="38"/>
      <c r="B292" s="12"/>
      <c r="C292" s="12"/>
      <c r="D292" s="12"/>
      <c r="E292" s="12"/>
      <c r="F292" s="12"/>
      <c r="G292" s="13"/>
      <c r="H292" s="12"/>
      <c r="L292" s="12"/>
      <c r="M292" s="12"/>
      <c r="N292" s="12"/>
    </row>
    <row r="293" spans="1:15" s="11" customFormat="1">
      <c r="A293" s="38"/>
      <c r="B293" s="12"/>
      <c r="C293" s="12"/>
      <c r="D293" s="12"/>
      <c r="E293" s="12"/>
      <c r="F293" s="12"/>
      <c r="G293" s="13"/>
      <c r="H293" s="12"/>
      <c r="L293" s="12"/>
      <c r="M293" s="12"/>
      <c r="N293" s="12"/>
    </row>
    <row r="294" spans="1:15" s="11" customFormat="1">
      <c r="A294" s="38"/>
      <c r="B294" s="12"/>
      <c r="C294" s="12"/>
      <c r="D294" s="12"/>
      <c r="E294" s="12"/>
      <c r="F294" s="12"/>
      <c r="G294" s="13"/>
      <c r="H294" s="12"/>
      <c r="L294" s="12"/>
      <c r="M294" s="12"/>
      <c r="N294" s="12"/>
    </row>
    <row r="295" spans="1:15" s="11" customFormat="1">
      <c r="A295" s="38"/>
      <c r="B295" s="12"/>
      <c r="C295" s="12"/>
      <c r="D295" s="12"/>
      <c r="E295" s="12"/>
      <c r="F295" s="12"/>
      <c r="G295" s="13"/>
      <c r="H295" s="12"/>
      <c r="L295" s="12"/>
      <c r="M295" s="12"/>
      <c r="N295" s="12"/>
    </row>
    <row r="296" spans="1:15" s="11" customFormat="1">
      <c r="A296" s="38"/>
      <c r="B296" s="12"/>
      <c r="C296" s="12"/>
      <c r="D296" s="12"/>
      <c r="E296" s="12"/>
      <c r="F296" s="12"/>
      <c r="G296" s="13"/>
      <c r="H296" s="12"/>
      <c r="L296" s="12"/>
      <c r="M296" s="12"/>
      <c r="N296" s="12"/>
    </row>
  </sheetData>
  <mergeCells count="358">
    <mergeCell ref="F217:F218"/>
    <mergeCell ref="B119:G119"/>
    <mergeCell ref="C194:E196"/>
    <mergeCell ref="F194:F196"/>
    <mergeCell ref="C193:G193"/>
    <mergeCell ref="F239:F241"/>
    <mergeCell ref="G239:G240"/>
    <mergeCell ref="B239:B242"/>
    <mergeCell ref="C237:G237"/>
    <mergeCell ref="F244:F246"/>
    <mergeCell ref="G244:G246"/>
    <mergeCell ref="C117:E117"/>
    <mergeCell ref="C118:G118"/>
    <mergeCell ref="B72:B118"/>
    <mergeCell ref="C198:E198"/>
    <mergeCell ref="C199:G199"/>
    <mergeCell ref="C200:E200"/>
    <mergeCell ref="C201:G201"/>
    <mergeCell ref="C197:G197"/>
    <mergeCell ref="C236:E236"/>
    <mergeCell ref="B229:B237"/>
    <mergeCell ref="B203:B215"/>
    <mergeCell ref="C203:E205"/>
    <mergeCell ref="F203:F205"/>
    <mergeCell ref="B217:B227"/>
    <mergeCell ref="F127:F129"/>
    <mergeCell ref="G127:G129"/>
    <mergeCell ref="F179:F181"/>
    <mergeCell ref="G179:G181"/>
    <mergeCell ref="C235:G235"/>
    <mergeCell ref="C233:G233"/>
    <mergeCell ref="B238:G238"/>
    <mergeCell ref="I225:I226"/>
    <mergeCell ref="J225:J226"/>
    <mergeCell ref="C225:E226"/>
    <mergeCell ref="F225:F226"/>
    <mergeCell ref="G225:G226"/>
    <mergeCell ref="H225:H226"/>
    <mergeCell ref="G230:G231"/>
    <mergeCell ref="J154:J155"/>
    <mergeCell ref="K204:K205"/>
    <mergeCell ref="L204:L205"/>
    <mergeCell ref="M204:M205"/>
    <mergeCell ref="N204:N205"/>
    <mergeCell ref="C211:E211"/>
    <mergeCell ref="F207:F209"/>
    <mergeCell ref="C207:E209"/>
    <mergeCell ref="C210:G210"/>
    <mergeCell ref="G207:G209"/>
    <mergeCell ref="H207:H209"/>
    <mergeCell ref="I207:I209"/>
    <mergeCell ref="J207:J209"/>
    <mergeCell ref="H179:H181"/>
    <mergeCell ref="I179:I181"/>
    <mergeCell ref="J179:J181"/>
    <mergeCell ref="H182:H183"/>
    <mergeCell ref="I182:I183"/>
    <mergeCell ref="J182:J183"/>
    <mergeCell ref="I162:I163"/>
    <mergeCell ref="J162:J163"/>
    <mergeCell ref="C174:G174"/>
    <mergeCell ref="C175:E175"/>
    <mergeCell ref="F154:F155"/>
    <mergeCell ref="C213:E214"/>
    <mergeCell ref="B9:B70"/>
    <mergeCell ref="B71:G71"/>
    <mergeCell ref="C68:E69"/>
    <mergeCell ref="C81:E82"/>
    <mergeCell ref="C72:E73"/>
    <mergeCell ref="C75:E76"/>
    <mergeCell ref="C78:E79"/>
    <mergeCell ref="C70:G70"/>
    <mergeCell ref="C9:E18"/>
    <mergeCell ref="F59:F63"/>
    <mergeCell ref="G59:G63"/>
    <mergeCell ref="F56:F58"/>
    <mergeCell ref="F38:F46"/>
    <mergeCell ref="G38:G46"/>
    <mergeCell ref="F21:F24"/>
    <mergeCell ref="C212:G212"/>
    <mergeCell ref="H59:H63"/>
    <mergeCell ref="I59:I63"/>
    <mergeCell ref="J59:J63"/>
    <mergeCell ref="F249:F250"/>
    <mergeCell ref="G249:G250"/>
    <mergeCell ref="K6:N6"/>
    <mergeCell ref="K7:K8"/>
    <mergeCell ref="L7:N7"/>
    <mergeCell ref="K78:K79"/>
    <mergeCell ref="L78:L79"/>
    <mergeCell ref="M78:M79"/>
    <mergeCell ref="N78:N79"/>
    <mergeCell ref="F6:F8"/>
    <mergeCell ref="G6:G8"/>
    <mergeCell ref="H6:H8"/>
    <mergeCell ref="I6:I8"/>
    <mergeCell ref="J6:J8"/>
    <mergeCell ref="C19:G19"/>
    <mergeCell ref="C20:E63"/>
    <mergeCell ref="C64:G64"/>
    <mergeCell ref="C67:G67"/>
    <mergeCell ref="C215:G215"/>
    <mergeCell ref="N239:N241"/>
    <mergeCell ref="N229:N230"/>
    <mergeCell ref="C249:E250"/>
    <mergeCell ref="H259:H261"/>
    <mergeCell ref="I259:I261"/>
    <mergeCell ref="J259:J261"/>
    <mergeCell ref="H249:H250"/>
    <mergeCell ref="I249:I250"/>
    <mergeCell ref="J249:J250"/>
    <mergeCell ref="K229:K230"/>
    <mergeCell ref="L229:L230"/>
    <mergeCell ref="I244:I246"/>
    <mergeCell ref="J244:J246"/>
    <mergeCell ref="C252:E252"/>
    <mergeCell ref="C254:E254"/>
    <mergeCell ref="B258:G258"/>
    <mergeCell ref="C259:E261"/>
    <mergeCell ref="B249:B257"/>
    <mergeCell ref="C243:G243"/>
    <mergeCell ref="C247:G247"/>
    <mergeCell ref="B244:B247"/>
    <mergeCell ref="C244:E246"/>
    <mergeCell ref="C229:E232"/>
    <mergeCell ref="H244:H246"/>
    <mergeCell ref="F229:F231"/>
    <mergeCell ref="C234:E234"/>
    <mergeCell ref="M229:M230"/>
    <mergeCell ref="K239:K241"/>
    <mergeCell ref="L239:L241"/>
    <mergeCell ref="M239:M241"/>
    <mergeCell ref="H230:H231"/>
    <mergeCell ref="I230:I231"/>
    <mergeCell ref="J230:J231"/>
    <mergeCell ref="H239:H240"/>
    <mergeCell ref="I239:I240"/>
    <mergeCell ref="J239:J240"/>
    <mergeCell ref="A274:G274"/>
    <mergeCell ref="A273:G273"/>
    <mergeCell ref="A265:A272"/>
    <mergeCell ref="C271:G271"/>
    <mergeCell ref="B265:B271"/>
    <mergeCell ref="B272:G272"/>
    <mergeCell ref="C268:E268"/>
    <mergeCell ref="C269:G269"/>
    <mergeCell ref="C270:E270"/>
    <mergeCell ref="C267:G267"/>
    <mergeCell ref="C265:E266"/>
    <mergeCell ref="C262:G262"/>
    <mergeCell ref="B259:B262"/>
    <mergeCell ref="B263:G263"/>
    <mergeCell ref="A264:G264"/>
    <mergeCell ref="F259:F261"/>
    <mergeCell ref="G259:G261"/>
    <mergeCell ref="C255:G255"/>
    <mergeCell ref="C256:E256"/>
    <mergeCell ref="C257:G257"/>
    <mergeCell ref="K17:K18"/>
    <mergeCell ref="M17:M18"/>
    <mergeCell ref="L9:L11"/>
    <mergeCell ref="M9:M11"/>
    <mergeCell ref="N9:N11"/>
    <mergeCell ref="K13:K14"/>
    <mergeCell ref="L13:L14"/>
    <mergeCell ref="M13:M14"/>
    <mergeCell ref="N13:N14"/>
    <mergeCell ref="K15:K16"/>
    <mergeCell ref="L15:L16"/>
    <mergeCell ref="M15:M16"/>
    <mergeCell ref="N15:N16"/>
    <mergeCell ref="K9:K11"/>
    <mergeCell ref="N17:N18"/>
    <mergeCell ref="I38:I46"/>
    <mergeCell ref="J38:J46"/>
    <mergeCell ref="F30:F37"/>
    <mergeCell ref="G30:G37"/>
    <mergeCell ref="G56:G58"/>
    <mergeCell ref="H56:H58"/>
    <mergeCell ref="I56:I58"/>
    <mergeCell ref="J56:J58"/>
    <mergeCell ref="H30:H37"/>
    <mergeCell ref="I30:I37"/>
    <mergeCell ref="J30:J37"/>
    <mergeCell ref="H21:H24"/>
    <mergeCell ref="I21:I24"/>
    <mergeCell ref="J21:J24"/>
    <mergeCell ref="A121:A263"/>
    <mergeCell ref="C227:G227"/>
    <mergeCell ref="B248:G248"/>
    <mergeCell ref="B121:B201"/>
    <mergeCell ref="B202:G202"/>
    <mergeCell ref="C206:G206"/>
    <mergeCell ref="B216:G216"/>
    <mergeCell ref="C190:E192"/>
    <mergeCell ref="F190:F192"/>
    <mergeCell ref="B228:G228"/>
    <mergeCell ref="C251:G251"/>
    <mergeCell ref="C253:G253"/>
    <mergeCell ref="C242:G242"/>
    <mergeCell ref="C239:E241"/>
    <mergeCell ref="F162:F163"/>
    <mergeCell ref="G162:G163"/>
    <mergeCell ref="C121:E125"/>
    <mergeCell ref="C126:G126"/>
    <mergeCell ref="C127:E131"/>
    <mergeCell ref="F121:F123"/>
    <mergeCell ref="H38:H46"/>
    <mergeCell ref="C161:G161"/>
    <mergeCell ref="C162:E163"/>
    <mergeCell ref="C166:G166"/>
    <mergeCell ref="C167:E167"/>
    <mergeCell ref="C168:G168"/>
    <mergeCell ref="C171:E171"/>
    <mergeCell ref="C172:G172"/>
    <mergeCell ref="C173:E173"/>
    <mergeCell ref="G21:G24"/>
    <mergeCell ref="C65:E66"/>
    <mergeCell ref="C74:G74"/>
    <mergeCell ref="C77:G77"/>
    <mergeCell ref="C80:G80"/>
    <mergeCell ref="C92:G92"/>
    <mergeCell ref="C115:E115"/>
    <mergeCell ref="C116:G116"/>
    <mergeCell ref="C223:E223"/>
    <mergeCell ref="C224:G224"/>
    <mergeCell ref="C217:E218"/>
    <mergeCell ref="C219:G219"/>
    <mergeCell ref="C220:E221"/>
    <mergeCell ref="C222:G222"/>
    <mergeCell ref="C132:G132"/>
    <mergeCell ref="C133:E135"/>
    <mergeCell ref="F133:F135"/>
    <mergeCell ref="G133:G135"/>
    <mergeCell ref="G154:G155"/>
    <mergeCell ref="C164:G164"/>
    <mergeCell ref="C176:G176"/>
    <mergeCell ref="C189:G189"/>
    <mergeCell ref="C169:E169"/>
    <mergeCell ref="C170:G170"/>
    <mergeCell ref="C177:E177"/>
    <mergeCell ref="C178:G178"/>
    <mergeCell ref="C179:E183"/>
    <mergeCell ref="C184:G184"/>
    <mergeCell ref="C185:E185"/>
    <mergeCell ref="C186:G186"/>
    <mergeCell ref="C187:E188"/>
    <mergeCell ref="C159:G159"/>
    <mergeCell ref="F124:F125"/>
    <mergeCell ref="G121:G123"/>
    <mergeCell ref="F130:F131"/>
    <mergeCell ref="G130:G131"/>
    <mergeCell ref="A120:G120"/>
    <mergeCell ref="C87:E88"/>
    <mergeCell ref="C89:G89"/>
    <mergeCell ref="C114:G114"/>
    <mergeCell ref="C110:E111"/>
    <mergeCell ref="C112:G112"/>
    <mergeCell ref="C106:E108"/>
    <mergeCell ref="C105:G105"/>
    <mergeCell ref="C109:G109"/>
    <mergeCell ref="C113:E113"/>
    <mergeCell ref="A9:A119"/>
    <mergeCell ref="C83:G83"/>
    <mergeCell ref="C86:G86"/>
    <mergeCell ref="C84:E85"/>
    <mergeCell ref="C90:E91"/>
    <mergeCell ref="C93:E94"/>
    <mergeCell ref="C96:E97"/>
    <mergeCell ref="C103:E104"/>
    <mergeCell ref="C95:G95"/>
    <mergeCell ref="C98:G98"/>
    <mergeCell ref="C100:G100"/>
    <mergeCell ref="C99:E99"/>
    <mergeCell ref="C102:G102"/>
    <mergeCell ref="C101:E101"/>
    <mergeCell ref="H121:H123"/>
    <mergeCell ref="I121:I123"/>
    <mergeCell ref="J121:J123"/>
    <mergeCell ref="G124:G125"/>
    <mergeCell ref="H124:H125"/>
    <mergeCell ref="I124:I125"/>
    <mergeCell ref="J124:J125"/>
    <mergeCell ref="H127:H129"/>
    <mergeCell ref="I127:I129"/>
    <mergeCell ref="J127:J129"/>
    <mergeCell ref="H130:H131"/>
    <mergeCell ref="I130:I131"/>
    <mergeCell ref="J130:J131"/>
    <mergeCell ref="K195:K196"/>
    <mergeCell ref="L195:L196"/>
    <mergeCell ref="M195:M196"/>
    <mergeCell ref="N195:N196"/>
    <mergeCell ref="H162:H163"/>
    <mergeCell ref="C138:G138"/>
    <mergeCell ref="C141:G141"/>
    <mergeCell ref="C142:E142"/>
    <mergeCell ref="C143:G143"/>
    <mergeCell ref="C147:G147"/>
    <mergeCell ref="C144:E146"/>
    <mergeCell ref="F144:F146"/>
    <mergeCell ref="G144:G146"/>
    <mergeCell ref="C139:E140"/>
    <mergeCell ref="F139:F140"/>
    <mergeCell ref="G139:G140"/>
    <mergeCell ref="H144:H146"/>
    <mergeCell ref="I144:I146"/>
    <mergeCell ref="J144:J146"/>
    <mergeCell ref="F182:F183"/>
    <mergeCell ref="G182:G183"/>
    <mergeCell ref="H133:H135"/>
    <mergeCell ref="I133:I135"/>
    <mergeCell ref="J133:J135"/>
    <mergeCell ref="C136:G136"/>
    <mergeCell ref="C137:E137"/>
    <mergeCell ref="C165:E165"/>
    <mergeCell ref="H139:H140"/>
    <mergeCell ref="I139:I140"/>
    <mergeCell ref="J139:J140"/>
    <mergeCell ref="C160:E160"/>
    <mergeCell ref="C157:G157"/>
    <mergeCell ref="C158:E158"/>
    <mergeCell ref="C150:G150"/>
    <mergeCell ref="C151:E152"/>
    <mergeCell ref="F151:F152"/>
    <mergeCell ref="G151:G152"/>
    <mergeCell ref="H151:H152"/>
    <mergeCell ref="I151:I152"/>
    <mergeCell ref="J151:J152"/>
    <mergeCell ref="C153:G153"/>
    <mergeCell ref="C154:E156"/>
    <mergeCell ref="C148:E149"/>
    <mergeCell ref="H154:H155"/>
    <mergeCell ref="I154:I155"/>
    <mergeCell ref="A3:J3"/>
    <mergeCell ref="K3:L3"/>
    <mergeCell ref="A2:J2"/>
    <mergeCell ref="F25:F29"/>
    <mergeCell ref="G25:G29"/>
    <mergeCell ref="H25:H29"/>
    <mergeCell ref="I25:I29"/>
    <mergeCell ref="J25:J29"/>
    <mergeCell ref="F53:F55"/>
    <mergeCell ref="G53:G55"/>
    <mergeCell ref="H53:H55"/>
    <mergeCell ref="I53:I55"/>
    <mergeCell ref="J53:J55"/>
    <mergeCell ref="F48:F52"/>
    <mergeCell ref="G48:G52"/>
    <mergeCell ref="H48:H52"/>
    <mergeCell ref="I48:I52"/>
    <mergeCell ref="J48:J52"/>
    <mergeCell ref="L17:L18"/>
    <mergeCell ref="A6:A8"/>
    <mergeCell ref="B6:B8"/>
    <mergeCell ref="C6:C8"/>
    <mergeCell ref="D6:D8"/>
    <mergeCell ref="E6:E8"/>
  </mergeCells>
  <phoneticPr fontId="6" type="noConversion"/>
  <pageMargins left="0.39370078740157483" right="0.39370078740157483" top="0.59055118110236227" bottom="0.39370078740157483" header="0" footer="0"/>
  <pageSetup paperSize="9" scale="97" fitToHeight="0" orientation="landscape" r:id="rId1"/>
  <headerFooter alignWithMargins="0">
    <oddHeader>&amp;C7.1.-&amp;P</oddHeader>
  </headerFooter>
  <ignoredErrors>
    <ignoredError sqref="H139 H144 H167 H177" 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P160"/>
  <sheetViews>
    <sheetView topLeftCell="A106" zoomScaleNormal="100" zoomScaleSheetLayoutView="100" workbookViewId="0">
      <selection activeCell="C133" sqref="C133:E134"/>
    </sheetView>
  </sheetViews>
  <sheetFormatPr defaultColWidth="7.85546875" defaultRowHeight="12.75"/>
  <cols>
    <col min="1" max="1" width="9.28515625" style="122" customWidth="1"/>
    <col min="2" max="2" width="10.140625" style="42" customWidth="1"/>
    <col min="3" max="4" width="8.7109375" style="42" customWidth="1"/>
    <col min="5" max="5" width="11.42578125" style="42" customWidth="1"/>
    <col min="6" max="6" width="12.7109375" style="42" customWidth="1"/>
    <col min="7" max="7" width="7.140625" style="8" customWidth="1"/>
    <col min="8" max="8" width="8.7109375" style="8" customWidth="1"/>
    <col min="9" max="10" width="8.7109375" style="7" customWidth="1"/>
    <col min="11" max="11" width="32" style="7" customWidth="1"/>
    <col min="12" max="14" width="7.7109375" style="7" customWidth="1"/>
    <col min="15" max="16384" width="7.85546875" style="7"/>
  </cols>
  <sheetData>
    <row r="1" spans="1:14" ht="15.75">
      <c r="A1" s="110" t="s">
        <v>463</v>
      </c>
      <c r="B1" s="111"/>
      <c r="C1" s="111"/>
      <c r="D1" s="111"/>
      <c r="E1" s="111"/>
      <c r="F1" s="111"/>
      <c r="G1" s="111"/>
      <c r="H1" s="111">
        <v>0</v>
      </c>
      <c r="I1" s="111"/>
      <c r="J1" s="111"/>
      <c r="K1" s="7" t="s">
        <v>464</v>
      </c>
    </row>
    <row r="2" spans="1:14" ht="15.75">
      <c r="A2" s="112" t="s">
        <v>161</v>
      </c>
      <c r="B2" s="113"/>
      <c r="C2" s="113"/>
      <c r="D2" s="113"/>
      <c r="E2" s="113"/>
      <c r="F2" s="113"/>
      <c r="G2" s="113"/>
      <c r="H2" s="113"/>
      <c r="I2" s="113"/>
      <c r="J2" s="113"/>
      <c r="K2" s="7" t="s">
        <v>107</v>
      </c>
    </row>
    <row r="3" spans="1:14" ht="34.5" customHeight="1">
      <c r="A3" s="1503" t="s">
        <v>117</v>
      </c>
      <c r="B3" s="1503"/>
      <c r="C3" s="1503"/>
      <c r="D3" s="1503"/>
      <c r="E3" s="1503"/>
      <c r="F3" s="1503"/>
      <c r="G3" s="1503"/>
      <c r="H3" s="1503"/>
      <c r="I3" s="1503"/>
      <c r="J3" s="1503"/>
      <c r="K3" s="1885" t="s">
        <v>873</v>
      </c>
      <c r="L3" s="1885"/>
    </row>
    <row r="4" spans="1:14" ht="15.75">
      <c r="A4" s="9"/>
      <c r="B4" s="9"/>
      <c r="C4" s="9"/>
      <c r="D4" s="9"/>
      <c r="E4" s="9"/>
      <c r="F4" s="9"/>
      <c r="G4" s="9"/>
      <c r="H4" s="9"/>
      <c r="I4" s="9"/>
      <c r="J4" s="9"/>
      <c r="K4" s="7" t="s">
        <v>96</v>
      </c>
    </row>
    <row r="5" spans="1:14" ht="8.25" customHeight="1" thickBot="1">
      <c r="A5" s="35"/>
      <c r="B5" s="35"/>
      <c r="C5" s="35"/>
      <c r="D5" s="35"/>
      <c r="E5" s="35"/>
      <c r="F5" s="35"/>
      <c r="G5" s="35"/>
      <c r="H5" s="35"/>
      <c r="I5" s="27"/>
      <c r="J5" s="27"/>
      <c r="L5" s="27"/>
      <c r="M5" s="27"/>
      <c r="N5" s="27"/>
    </row>
    <row r="6" spans="1:14" ht="13.5" customHeight="1" thickBot="1">
      <c r="A6" s="1492" t="s">
        <v>110</v>
      </c>
      <c r="B6" s="1483" t="s">
        <v>111</v>
      </c>
      <c r="C6" s="1483" t="s">
        <v>112</v>
      </c>
      <c r="D6" s="1916" t="s">
        <v>47</v>
      </c>
      <c r="E6" s="1570" t="s">
        <v>113</v>
      </c>
      <c r="F6" s="1483" t="s">
        <v>14</v>
      </c>
      <c r="G6" s="1490" t="s">
        <v>114</v>
      </c>
      <c r="H6" s="1483" t="s">
        <v>811</v>
      </c>
      <c r="I6" s="1485" t="s">
        <v>812</v>
      </c>
      <c r="J6" s="1469" t="s">
        <v>813</v>
      </c>
      <c r="K6" s="1890" t="s">
        <v>115</v>
      </c>
      <c r="L6" s="1891"/>
      <c r="M6" s="1891"/>
      <c r="N6" s="1892"/>
    </row>
    <row r="7" spans="1:14" ht="13.5" customHeight="1">
      <c r="A7" s="1493"/>
      <c r="B7" s="1484"/>
      <c r="C7" s="1484"/>
      <c r="D7" s="1917"/>
      <c r="E7" s="1571"/>
      <c r="F7" s="1484"/>
      <c r="G7" s="1491"/>
      <c r="H7" s="1484"/>
      <c r="I7" s="1486"/>
      <c r="J7" s="1470"/>
      <c r="K7" s="1893" t="s">
        <v>47</v>
      </c>
      <c r="L7" s="1894" t="s">
        <v>116</v>
      </c>
      <c r="M7" s="1895"/>
      <c r="N7" s="1896"/>
    </row>
    <row r="8" spans="1:14" ht="151.5" customHeight="1" thickBot="1">
      <c r="A8" s="1494"/>
      <c r="B8" s="1495"/>
      <c r="C8" s="1495"/>
      <c r="D8" s="1918"/>
      <c r="E8" s="1919"/>
      <c r="F8" s="1495"/>
      <c r="G8" s="1897"/>
      <c r="H8" s="1495"/>
      <c r="I8" s="1707"/>
      <c r="J8" s="1708"/>
      <c r="K8" s="1578"/>
      <c r="L8" s="114" t="s">
        <v>138</v>
      </c>
      <c r="M8" s="114" t="s">
        <v>256</v>
      </c>
      <c r="N8" s="115" t="s">
        <v>452</v>
      </c>
    </row>
    <row r="9" spans="1:14" ht="17.25" customHeight="1">
      <c r="A9" s="1214" t="s">
        <v>471</v>
      </c>
      <c r="B9" s="1214" t="s">
        <v>472</v>
      </c>
      <c r="C9" s="1176" t="s">
        <v>70</v>
      </c>
      <c r="D9" s="1907"/>
      <c r="E9" s="1907"/>
      <c r="F9" s="1233" t="s">
        <v>171</v>
      </c>
      <c r="G9" s="1149" t="s">
        <v>121</v>
      </c>
      <c r="H9" s="1367">
        <f>244.5-10.6</f>
        <v>233.9</v>
      </c>
      <c r="I9" s="1367">
        <f>H9*1.006</f>
        <v>235.30340000000001</v>
      </c>
      <c r="J9" s="1367">
        <f>I9*1.006</f>
        <v>236.71522040000002</v>
      </c>
      <c r="K9" s="615" t="s">
        <v>385</v>
      </c>
      <c r="L9" s="601">
        <v>25</v>
      </c>
      <c r="M9" s="601">
        <v>25</v>
      </c>
      <c r="N9" s="875">
        <v>25</v>
      </c>
    </row>
    <row r="10" spans="1:14" s="309" customFormat="1" ht="18.75" customHeight="1" thickBot="1">
      <c r="A10" s="1533"/>
      <c r="B10" s="1533"/>
      <c r="C10" s="1908"/>
      <c r="D10" s="1361"/>
      <c r="E10" s="1361"/>
      <c r="F10" s="1361"/>
      <c r="G10" s="1362"/>
      <c r="H10" s="1183"/>
      <c r="I10" s="1354"/>
      <c r="J10" s="1354"/>
      <c r="K10" s="876" t="s">
        <v>76</v>
      </c>
      <c r="L10" s="533">
        <v>330</v>
      </c>
      <c r="M10" s="533">
        <v>330</v>
      </c>
      <c r="N10" s="877">
        <v>330</v>
      </c>
    </row>
    <row r="11" spans="1:14" ht="13.5" thickBot="1">
      <c r="A11" s="1909"/>
      <c r="B11" s="1909"/>
      <c r="C11" s="1616" t="s">
        <v>118</v>
      </c>
      <c r="D11" s="1421"/>
      <c r="E11" s="1421"/>
      <c r="F11" s="1421"/>
      <c r="G11" s="1422"/>
      <c r="H11" s="873">
        <f>SUM(H9)</f>
        <v>233.9</v>
      </c>
      <c r="I11" s="874">
        <f>SUM(I9)</f>
        <v>235.30340000000001</v>
      </c>
      <c r="J11" s="874">
        <f>SUM(J9)</f>
        <v>236.71522040000002</v>
      </c>
      <c r="K11" s="381"/>
      <c r="L11" s="381"/>
      <c r="M11" s="381"/>
      <c r="N11" s="382"/>
    </row>
    <row r="12" spans="1:14" s="10" customFormat="1">
      <c r="A12" s="1909"/>
      <c r="B12" s="1909"/>
      <c r="C12" s="1165" t="s">
        <v>26</v>
      </c>
      <c r="D12" s="1166"/>
      <c r="E12" s="1167"/>
      <c r="F12" s="1161" t="s">
        <v>193</v>
      </c>
      <c r="G12" s="1197" t="s">
        <v>121</v>
      </c>
      <c r="H12" s="1739">
        <v>77</v>
      </c>
      <c r="I12" s="1567">
        <f>H12*1.006</f>
        <v>77.462000000000003</v>
      </c>
      <c r="J12" s="1642">
        <f>I12*1.006</f>
        <v>77.926772</v>
      </c>
      <c r="K12" s="928" t="s">
        <v>261</v>
      </c>
      <c r="L12" s="607">
        <v>3</v>
      </c>
      <c r="M12" s="607">
        <v>3</v>
      </c>
      <c r="N12" s="929">
        <v>3</v>
      </c>
    </row>
    <row r="13" spans="1:14" s="10" customFormat="1">
      <c r="A13" s="1909"/>
      <c r="B13" s="1909"/>
      <c r="C13" s="1299"/>
      <c r="D13" s="1322"/>
      <c r="E13" s="1323"/>
      <c r="F13" s="1737"/>
      <c r="G13" s="1738"/>
      <c r="H13" s="1739"/>
      <c r="I13" s="1567"/>
      <c r="J13" s="1791"/>
      <c r="K13" s="930" t="s">
        <v>262</v>
      </c>
      <c r="L13" s="609">
        <v>95</v>
      </c>
      <c r="M13" s="609">
        <v>95</v>
      </c>
      <c r="N13" s="931">
        <v>95</v>
      </c>
    </row>
    <row r="14" spans="1:14" s="10" customFormat="1" ht="23.25" thickBot="1">
      <c r="A14" s="1909"/>
      <c r="B14" s="1909"/>
      <c r="C14" s="1230"/>
      <c r="D14" s="1231"/>
      <c r="E14" s="1232"/>
      <c r="F14" s="1345"/>
      <c r="G14" s="1346"/>
      <c r="H14" s="1902"/>
      <c r="I14" s="1229"/>
      <c r="J14" s="1903"/>
      <c r="K14" s="932" t="s">
        <v>462</v>
      </c>
      <c r="L14" s="605">
        <v>50</v>
      </c>
      <c r="M14" s="605">
        <v>45</v>
      </c>
      <c r="N14" s="933">
        <v>40</v>
      </c>
    </row>
    <row r="15" spans="1:14" ht="13.5" thickBot="1">
      <c r="A15" s="1909"/>
      <c r="B15" s="1909"/>
      <c r="C15" s="1185" t="s">
        <v>118</v>
      </c>
      <c r="D15" s="1421"/>
      <c r="E15" s="1421"/>
      <c r="F15" s="1421"/>
      <c r="G15" s="1422"/>
      <c r="H15" s="873">
        <f>SUM(H12)</f>
        <v>77</v>
      </c>
      <c r="I15" s="874">
        <f>SUM(I12)</f>
        <v>77.462000000000003</v>
      </c>
      <c r="J15" s="874">
        <f>SUM(J12)</f>
        <v>77.926772</v>
      </c>
      <c r="K15" s="381"/>
      <c r="L15" s="381"/>
      <c r="M15" s="381"/>
      <c r="N15" s="382"/>
    </row>
    <row r="16" spans="1:14" ht="22.5">
      <c r="A16" s="1909"/>
      <c r="B16" s="1909"/>
      <c r="C16" s="1165" t="s">
        <v>68</v>
      </c>
      <c r="D16" s="1166"/>
      <c r="E16" s="1166"/>
      <c r="F16" s="839" t="s">
        <v>171</v>
      </c>
      <c r="G16" s="832" t="s">
        <v>121</v>
      </c>
      <c r="H16" s="603">
        <f>2767-293.2-128.5+5</f>
        <v>2350.3000000000002</v>
      </c>
      <c r="I16" s="603">
        <f>H16*1.006</f>
        <v>2364.4018000000001</v>
      </c>
      <c r="J16" s="603">
        <f>I16*1.006</f>
        <v>2378.5882108000001</v>
      </c>
      <c r="K16" s="595" t="s">
        <v>465</v>
      </c>
      <c r="L16" s="601">
        <v>181</v>
      </c>
      <c r="M16" s="601">
        <v>183</v>
      </c>
      <c r="N16" s="875">
        <v>185</v>
      </c>
    </row>
    <row r="17" spans="1:14" ht="22.5">
      <c r="A17" s="1909"/>
      <c r="B17" s="1909"/>
      <c r="C17" s="1452"/>
      <c r="D17" s="1322"/>
      <c r="E17" s="1322"/>
      <c r="F17" s="1736" t="s">
        <v>171</v>
      </c>
      <c r="G17" s="1462" t="s">
        <v>122</v>
      </c>
      <c r="H17" s="1389">
        <v>128.5</v>
      </c>
      <c r="I17" s="1389">
        <f>H17*1.006</f>
        <v>129.27099999999999</v>
      </c>
      <c r="J17" s="1389">
        <f>I17*1.006</f>
        <v>130.04662599999997</v>
      </c>
      <c r="K17" s="501" t="s">
        <v>263</v>
      </c>
      <c r="L17" s="534">
        <v>5</v>
      </c>
      <c r="M17" s="534">
        <v>5</v>
      </c>
      <c r="N17" s="535">
        <v>5</v>
      </c>
    </row>
    <row r="18" spans="1:14" s="16" customFormat="1" ht="22.5">
      <c r="A18" s="1909"/>
      <c r="B18" s="1909"/>
      <c r="C18" s="1452"/>
      <c r="D18" s="1322"/>
      <c r="E18" s="1322"/>
      <c r="F18" s="1531"/>
      <c r="G18" s="1463"/>
      <c r="H18" s="1229"/>
      <c r="I18" s="1229"/>
      <c r="J18" s="1229"/>
      <c r="K18" s="879" t="s">
        <v>466</v>
      </c>
      <c r="L18" s="534">
        <v>100</v>
      </c>
      <c r="M18" s="534">
        <v>100</v>
      </c>
      <c r="N18" s="535">
        <v>100</v>
      </c>
    </row>
    <row r="19" spans="1:14" ht="23.25" thickBot="1">
      <c r="A19" s="1909"/>
      <c r="B19" s="1909"/>
      <c r="C19" s="1230"/>
      <c r="D19" s="1231"/>
      <c r="E19" s="1231"/>
      <c r="F19" s="1345"/>
      <c r="G19" s="1346"/>
      <c r="H19" s="1202"/>
      <c r="I19" s="1202"/>
      <c r="J19" s="1202"/>
      <c r="K19" s="502" t="s">
        <v>240</v>
      </c>
      <c r="L19" s="533">
        <v>0</v>
      </c>
      <c r="M19" s="533">
        <v>0</v>
      </c>
      <c r="N19" s="877">
        <v>0</v>
      </c>
    </row>
    <row r="20" spans="1:14" ht="13.5" thickBot="1">
      <c r="A20" s="1909"/>
      <c r="B20" s="1909"/>
      <c r="C20" s="1926" t="s">
        <v>118</v>
      </c>
      <c r="D20" s="1848"/>
      <c r="E20" s="1848"/>
      <c r="F20" s="1848"/>
      <c r="G20" s="1927"/>
      <c r="H20" s="873">
        <f>SUM(H16:H19)</f>
        <v>2478.8000000000002</v>
      </c>
      <c r="I20" s="874">
        <f>SUM(I16:I19)</f>
        <v>2493.6728000000003</v>
      </c>
      <c r="J20" s="874">
        <f>SUM(J16:J19)</f>
        <v>2508.6348367999999</v>
      </c>
      <c r="K20" s="173"/>
      <c r="L20" s="139"/>
      <c r="M20" s="139"/>
      <c r="N20" s="200"/>
    </row>
    <row r="21" spans="1:14" ht="38.25" customHeight="1" thickBot="1">
      <c r="A21" s="1909"/>
      <c r="B21" s="1909"/>
      <c r="C21" s="1340" t="s">
        <v>69</v>
      </c>
      <c r="D21" s="1166"/>
      <c r="E21" s="1167"/>
      <c r="F21" s="835" t="s">
        <v>171</v>
      </c>
      <c r="G21" s="836" t="s">
        <v>121</v>
      </c>
      <c r="H21" s="613">
        <v>13</v>
      </c>
      <c r="I21" s="607">
        <f>H21*1.006</f>
        <v>13.077999999999999</v>
      </c>
      <c r="J21" s="607">
        <f>I21*1.006</f>
        <v>13.156468</v>
      </c>
      <c r="K21" s="911" t="s">
        <v>46</v>
      </c>
      <c r="L21" s="731">
        <v>100</v>
      </c>
      <c r="M21" s="731">
        <v>110</v>
      </c>
      <c r="N21" s="779">
        <v>120</v>
      </c>
    </row>
    <row r="22" spans="1:14" ht="13.5" thickBot="1">
      <c r="A22" s="1909"/>
      <c r="B22" s="1909"/>
      <c r="C22" s="1185" t="s">
        <v>118</v>
      </c>
      <c r="D22" s="1421"/>
      <c r="E22" s="1421"/>
      <c r="F22" s="1421"/>
      <c r="G22" s="1422"/>
      <c r="H22" s="873">
        <f>SUM(H21:H21)</f>
        <v>13</v>
      </c>
      <c r="I22" s="874">
        <f>SUM(I21:I21)</f>
        <v>13.077999999999999</v>
      </c>
      <c r="J22" s="874">
        <f>SUM(J21:J21)</f>
        <v>13.156468</v>
      </c>
      <c r="K22" s="139"/>
      <c r="L22" s="139"/>
      <c r="M22" s="139"/>
      <c r="N22" s="200"/>
    </row>
    <row r="23" spans="1:14" ht="22.5">
      <c r="A23" s="1909"/>
      <c r="B23" s="1909"/>
      <c r="C23" s="1340" t="s">
        <v>103</v>
      </c>
      <c r="D23" s="1166"/>
      <c r="E23" s="1167"/>
      <c r="F23" s="1161" t="s">
        <v>171</v>
      </c>
      <c r="G23" s="1197" t="s">
        <v>121</v>
      </c>
      <c r="H23" s="1374">
        <v>125</v>
      </c>
      <c r="I23" s="1374">
        <f>H23*1.006</f>
        <v>125.75</v>
      </c>
      <c r="J23" s="1374">
        <f>I23*1.006</f>
        <v>126.50450000000001</v>
      </c>
      <c r="K23" s="507" t="s">
        <v>269</v>
      </c>
      <c r="L23" s="731">
        <v>1</v>
      </c>
      <c r="M23" s="731">
        <v>1</v>
      </c>
      <c r="N23" s="779">
        <v>1</v>
      </c>
    </row>
    <row r="24" spans="1:14" ht="22.5">
      <c r="A24" s="1909"/>
      <c r="B24" s="1909"/>
      <c r="C24" s="1322"/>
      <c r="D24" s="1574"/>
      <c r="E24" s="1323"/>
      <c r="F24" s="1531"/>
      <c r="G24" s="1463"/>
      <c r="H24" s="1566"/>
      <c r="I24" s="1229"/>
      <c r="J24" s="1229"/>
      <c r="K24" s="501" t="s">
        <v>270</v>
      </c>
      <c r="L24" s="534">
        <v>1</v>
      </c>
      <c r="M24" s="534">
        <v>1</v>
      </c>
      <c r="N24" s="535">
        <v>1</v>
      </c>
    </row>
    <row r="25" spans="1:14" ht="22.5">
      <c r="A25" s="1909"/>
      <c r="B25" s="1909"/>
      <c r="C25" s="1322"/>
      <c r="D25" s="1574"/>
      <c r="E25" s="1323"/>
      <c r="F25" s="1531"/>
      <c r="G25" s="1463"/>
      <c r="H25" s="1566"/>
      <c r="I25" s="1229"/>
      <c r="J25" s="1229"/>
      <c r="K25" s="501" t="s">
        <v>271</v>
      </c>
      <c r="L25" s="534">
        <v>1</v>
      </c>
      <c r="M25" s="534">
        <v>1</v>
      </c>
      <c r="N25" s="535">
        <v>1</v>
      </c>
    </row>
    <row r="26" spans="1:14" ht="22.5">
      <c r="A26" s="1909"/>
      <c r="B26" s="1909"/>
      <c r="C26" s="1322"/>
      <c r="D26" s="1574"/>
      <c r="E26" s="1323"/>
      <c r="F26" s="1531"/>
      <c r="G26" s="1463"/>
      <c r="H26" s="1566"/>
      <c r="I26" s="1229"/>
      <c r="J26" s="1229"/>
      <c r="K26" s="501" t="s">
        <v>272</v>
      </c>
      <c r="L26" s="534">
        <v>1</v>
      </c>
      <c r="M26" s="534">
        <v>1</v>
      </c>
      <c r="N26" s="535">
        <v>1</v>
      </c>
    </row>
    <row r="27" spans="1:14" ht="22.5">
      <c r="A27" s="1909"/>
      <c r="B27" s="1909"/>
      <c r="C27" s="1322"/>
      <c r="D27" s="1574"/>
      <c r="E27" s="1323"/>
      <c r="F27" s="1531"/>
      <c r="G27" s="1463"/>
      <c r="H27" s="1566"/>
      <c r="I27" s="1229"/>
      <c r="J27" s="1229"/>
      <c r="K27" s="501" t="s">
        <v>273</v>
      </c>
      <c r="L27" s="534">
        <v>1</v>
      </c>
      <c r="M27" s="534">
        <v>1</v>
      </c>
      <c r="N27" s="535">
        <v>1</v>
      </c>
    </row>
    <row r="28" spans="1:14">
      <c r="A28" s="1909"/>
      <c r="B28" s="1909"/>
      <c r="C28" s="1322"/>
      <c r="D28" s="1574"/>
      <c r="E28" s="1323"/>
      <c r="F28" s="1531"/>
      <c r="G28" s="1463"/>
      <c r="H28" s="1566"/>
      <c r="I28" s="1229"/>
      <c r="J28" s="1229"/>
      <c r="K28" s="501" t="s">
        <v>274</v>
      </c>
      <c r="L28" s="534">
        <v>1</v>
      </c>
      <c r="M28" s="534">
        <v>1</v>
      </c>
      <c r="N28" s="535">
        <v>1</v>
      </c>
    </row>
    <row r="29" spans="1:14">
      <c r="A29" s="1909"/>
      <c r="B29" s="1909"/>
      <c r="C29" s="1322"/>
      <c r="D29" s="1574"/>
      <c r="E29" s="1323"/>
      <c r="F29" s="1531"/>
      <c r="G29" s="1463"/>
      <c r="H29" s="1566"/>
      <c r="I29" s="1229"/>
      <c r="J29" s="1229"/>
      <c r="K29" s="501" t="s">
        <v>275</v>
      </c>
      <c r="L29" s="534">
        <v>1</v>
      </c>
      <c r="M29" s="534">
        <v>1</v>
      </c>
      <c r="N29" s="535">
        <v>1</v>
      </c>
    </row>
    <row r="30" spans="1:14" ht="23.25" thickBot="1">
      <c r="A30" s="1909"/>
      <c r="B30" s="1909"/>
      <c r="C30" s="1322"/>
      <c r="D30" s="1574"/>
      <c r="E30" s="1323"/>
      <c r="F30" s="1345"/>
      <c r="G30" s="1346"/>
      <c r="H30" s="1381"/>
      <c r="I30" s="1202"/>
      <c r="J30" s="1202"/>
      <c r="K30" s="722" t="s">
        <v>268</v>
      </c>
      <c r="L30" s="608">
        <v>5</v>
      </c>
      <c r="M30" s="608">
        <v>5</v>
      </c>
      <c r="N30" s="781">
        <v>5</v>
      </c>
    </row>
    <row r="31" spans="1:14" ht="13.5" thickBot="1">
      <c r="A31" s="1909"/>
      <c r="B31" s="1909"/>
      <c r="C31" s="1423" t="s">
        <v>118</v>
      </c>
      <c r="D31" s="1424"/>
      <c r="E31" s="1424"/>
      <c r="F31" s="1424"/>
      <c r="G31" s="1425"/>
      <c r="H31" s="895">
        <f>SUM(H23)</f>
        <v>125</v>
      </c>
      <c r="I31" s="896">
        <f>SUM(I23)</f>
        <v>125.75</v>
      </c>
      <c r="J31" s="896">
        <f>SUM(J23)</f>
        <v>126.50450000000001</v>
      </c>
      <c r="K31" s="379"/>
      <c r="L31" s="379"/>
      <c r="M31" s="379"/>
      <c r="N31" s="380"/>
    </row>
    <row r="32" spans="1:14" s="16" customFormat="1" ht="33.75" customHeight="1">
      <c r="A32" s="1909"/>
      <c r="B32" s="1909"/>
      <c r="C32" s="1309" t="s">
        <v>467</v>
      </c>
      <c r="D32" s="1310"/>
      <c r="E32" s="1310"/>
      <c r="F32" s="1161" t="s">
        <v>171</v>
      </c>
      <c r="G32" s="1197" t="s">
        <v>121</v>
      </c>
      <c r="H32" s="1199">
        <v>15</v>
      </c>
      <c r="I32" s="1374">
        <v>25</v>
      </c>
      <c r="J32" s="1374">
        <v>7.1</v>
      </c>
      <c r="K32" s="936" t="s">
        <v>469</v>
      </c>
      <c r="L32" s="601">
        <v>0</v>
      </c>
      <c r="M32" s="601">
        <v>0</v>
      </c>
      <c r="N32" s="875">
        <v>2</v>
      </c>
    </row>
    <row r="33" spans="1:14" s="377" customFormat="1" ht="59.25" customHeight="1">
      <c r="A33" s="1909"/>
      <c r="B33" s="1909"/>
      <c r="C33" s="1752"/>
      <c r="D33" s="1753"/>
      <c r="E33" s="1753"/>
      <c r="F33" s="1743"/>
      <c r="G33" s="1519"/>
      <c r="H33" s="1925"/>
      <c r="I33" s="1568"/>
      <c r="J33" s="1568"/>
      <c r="K33" s="937" t="s">
        <v>470</v>
      </c>
      <c r="L33" s="813">
        <v>0</v>
      </c>
      <c r="M33" s="813">
        <v>0</v>
      </c>
      <c r="N33" s="814">
        <v>25</v>
      </c>
    </row>
    <row r="34" spans="1:14" ht="21" customHeight="1" thickBot="1">
      <c r="A34" s="1909"/>
      <c r="B34" s="1909"/>
      <c r="C34" s="1311"/>
      <c r="D34" s="1312"/>
      <c r="E34" s="1312"/>
      <c r="F34" s="247" t="s">
        <v>171</v>
      </c>
      <c r="G34" s="498" t="s">
        <v>143</v>
      </c>
      <c r="H34" s="511">
        <v>85</v>
      </c>
      <c r="I34" s="512">
        <v>141.80000000000001</v>
      </c>
      <c r="J34" s="512">
        <v>39.700000000000003</v>
      </c>
      <c r="K34" s="938" t="s">
        <v>468</v>
      </c>
      <c r="L34" s="938">
        <v>0</v>
      </c>
      <c r="M34" s="938">
        <v>1</v>
      </c>
      <c r="N34" s="939">
        <v>0</v>
      </c>
    </row>
    <row r="35" spans="1:14" ht="13.5" thickBot="1">
      <c r="A35" s="1909"/>
      <c r="B35" s="1910"/>
      <c r="C35" s="1234" t="s">
        <v>118</v>
      </c>
      <c r="D35" s="1784"/>
      <c r="E35" s="1784"/>
      <c r="F35" s="1784"/>
      <c r="G35" s="1913"/>
      <c r="H35" s="940">
        <f>SUM(H32:H34)</f>
        <v>100</v>
      </c>
      <c r="I35" s="943">
        <f>SUM(I32:I34)</f>
        <v>166.8</v>
      </c>
      <c r="J35" s="943">
        <f>SUM(J32:J34)</f>
        <v>46.800000000000004</v>
      </c>
      <c r="K35" s="383"/>
      <c r="L35" s="196"/>
      <c r="M35" s="196"/>
      <c r="N35" s="237"/>
    </row>
    <row r="36" spans="1:14" ht="13.5" thickBot="1">
      <c r="A36" s="1910"/>
      <c r="B36" s="1159" t="s">
        <v>119</v>
      </c>
      <c r="C36" s="1424"/>
      <c r="D36" s="1424"/>
      <c r="E36" s="1424"/>
      <c r="F36" s="1424"/>
      <c r="G36" s="1425"/>
      <c r="H36" s="941">
        <f>H11+H15+H20+H22+H31+H35</f>
        <v>3027.7000000000003</v>
      </c>
      <c r="I36" s="942">
        <f>I11+I15+I20+I22+I31+I35</f>
        <v>3112.0662000000007</v>
      </c>
      <c r="J36" s="942">
        <f>J11+J15+J20+J22+J31+J35</f>
        <v>3009.7377972000004</v>
      </c>
      <c r="K36" s="227"/>
      <c r="L36" s="139"/>
      <c r="M36" s="139"/>
      <c r="N36" s="228"/>
    </row>
    <row r="37" spans="1:14" s="16" customFormat="1" ht="13.5" thickBot="1">
      <c r="A37" s="1297" t="s">
        <v>303</v>
      </c>
      <c r="B37" s="1886"/>
      <c r="C37" s="1886"/>
      <c r="D37" s="1886"/>
      <c r="E37" s="1886"/>
      <c r="F37" s="1886"/>
      <c r="G37" s="1887"/>
      <c r="H37" s="898">
        <f>H36</f>
        <v>3027.7000000000003</v>
      </c>
      <c r="I37" s="926">
        <f>I36</f>
        <v>3112.0662000000007</v>
      </c>
      <c r="J37" s="926">
        <f>J36</f>
        <v>3009.7377972000004</v>
      </c>
      <c r="K37" s="196"/>
      <c r="L37" s="196"/>
      <c r="M37" s="196"/>
      <c r="N37" s="202"/>
    </row>
    <row r="38" spans="1:14" s="16" customFormat="1" ht="18" customHeight="1">
      <c r="A38" s="1214" t="s">
        <v>27</v>
      </c>
      <c r="B38" s="1914" t="s">
        <v>239</v>
      </c>
      <c r="C38" s="1340" t="s">
        <v>478</v>
      </c>
      <c r="D38" s="1166"/>
      <c r="E38" s="1167"/>
      <c r="F38" s="1161" t="s">
        <v>171</v>
      </c>
      <c r="G38" s="1197" t="s">
        <v>135</v>
      </c>
      <c r="H38" s="1374">
        <v>30.6</v>
      </c>
      <c r="I38" s="1374">
        <f>H38*1.006</f>
        <v>30.7836</v>
      </c>
      <c r="J38" s="1374">
        <f>I38*1.006</f>
        <v>30.9683016</v>
      </c>
      <c r="K38" s="615" t="s">
        <v>322</v>
      </c>
      <c r="L38" s="594" t="s">
        <v>473</v>
      </c>
      <c r="M38" s="594">
        <v>460</v>
      </c>
      <c r="N38" s="637">
        <v>460</v>
      </c>
    </row>
    <row r="39" spans="1:14" s="16" customFormat="1" ht="13.5" customHeight="1">
      <c r="A39" s="1909"/>
      <c r="B39" s="1909"/>
      <c r="C39" s="1322"/>
      <c r="D39" s="1574"/>
      <c r="E39" s="1323"/>
      <c r="F39" s="1531"/>
      <c r="G39" s="1463"/>
      <c r="H39" s="1566"/>
      <c r="I39" s="1229"/>
      <c r="J39" s="1229"/>
      <c r="K39" s="878" t="s">
        <v>323</v>
      </c>
      <c r="L39" s="625" t="s">
        <v>386</v>
      </c>
      <c r="M39" s="625">
        <v>540</v>
      </c>
      <c r="N39" s="626">
        <v>540</v>
      </c>
    </row>
    <row r="40" spans="1:14" s="16" customFormat="1" ht="15" customHeight="1">
      <c r="A40" s="1909"/>
      <c r="B40" s="1909"/>
      <c r="C40" s="1322"/>
      <c r="D40" s="1574"/>
      <c r="E40" s="1323"/>
      <c r="F40" s="1531"/>
      <c r="G40" s="1463"/>
      <c r="H40" s="1566"/>
      <c r="I40" s="1229"/>
      <c r="J40" s="1229"/>
      <c r="K40" s="878" t="s">
        <v>324</v>
      </c>
      <c r="L40" s="625" t="s">
        <v>474</v>
      </c>
      <c r="M40" s="625">
        <v>250</v>
      </c>
      <c r="N40" s="626">
        <v>250</v>
      </c>
    </row>
    <row r="41" spans="1:14" s="16" customFormat="1" ht="16.5" customHeight="1">
      <c r="A41" s="1909"/>
      <c r="B41" s="1909"/>
      <c r="C41" s="1322"/>
      <c r="D41" s="1574"/>
      <c r="E41" s="1323"/>
      <c r="F41" s="1531"/>
      <c r="G41" s="1463"/>
      <c r="H41" s="1566"/>
      <c r="I41" s="1229"/>
      <c r="J41" s="1229"/>
      <c r="K41" s="878" t="s">
        <v>325</v>
      </c>
      <c r="L41" s="625" t="s">
        <v>475</v>
      </c>
      <c r="M41" s="625">
        <v>110</v>
      </c>
      <c r="N41" s="626">
        <v>110</v>
      </c>
    </row>
    <row r="42" spans="1:14" s="16" customFormat="1" ht="24" customHeight="1" thickBot="1">
      <c r="A42" s="1909"/>
      <c r="B42" s="1909"/>
      <c r="C42" s="1322"/>
      <c r="D42" s="1574"/>
      <c r="E42" s="1323"/>
      <c r="F42" s="1345"/>
      <c r="G42" s="1346"/>
      <c r="H42" s="1381"/>
      <c r="I42" s="1202"/>
      <c r="J42" s="1202"/>
      <c r="K42" s="879" t="s">
        <v>326</v>
      </c>
      <c r="L42" s="625" t="s">
        <v>476</v>
      </c>
      <c r="M42" s="625">
        <v>170</v>
      </c>
      <c r="N42" s="626">
        <v>170</v>
      </c>
    </row>
    <row r="43" spans="1:14" ht="13.5" thickBot="1">
      <c r="A43" s="1909"/>
      <c r="B43" s="1909"/>
      <c r="C43" s="1185" t="s">
        <v>118</v>
      </c>
      <c r="D43" s="1421"/>
      <c r="E43" s="1421"/>
      <c r="F43" s="1421"/>
      <c r="G43" s="1422"/>
      <c r="H43" s="873">
        <f>SUM(H38)</f>
        <v>30.6</v>
      </c>
      <c r="I43" s="874">
        <f>SUM(I38)</f>
        <v>30.7836</v>
      </c>
      <c r="J43" s="874">
        <f>SUM(J38)</f>
        <v>30.9683016</v>
      </c>
      <c r="K43" s="211"/>
      <c r="L43" s="211"/>
      <c r="M43" s="211"/>
      <c r="N43" s="204"/>
    </row>
    <row r="44" spans="1:14" ht="22.5">
      <c r="A44" s="1909"/>
      <c r="B44" s="1909"/>
      <c r="C44" s="1340" t="s">
        <v>492</v>
      </c>
      <c r="D44" s="1166"/>
      <c r="E44" s="1167"/>
      <c r="F44" s="1161" t="s">
        <v>171</v>
      </c>
      <c r="G44" s="1197" t="s">
        <v>135</v>
      </c>
      <c r="H44" s="1199">
        <v>0.1</v>
      </c>
      <c r="I44" s="1374">
        <f>H44*1.006</f>
        <v>0.10060000000000001</v>
      </c>
      <c r="J44" s="1374">
        <f>I44*1.006</f>
        <v>0.1012036</v>
      </c>
      <c r="K44" s="507" t="s">
        <v>266</v>
      </c>
      <c r="L44" s="731">
        <v>13</v>
      </c>
      <c r="M44" s="731">
        <v>14</v>
      </c>
      <c r="N44" s="779">
        <v>16</v>
      </c>
    </row>
    <row r="45" spans="1:14" ht="27.75" customHeight="1" thickBot="1">
      <c r="A45" s="1909"/>
      <c r="B45" s="1909"/>
      <c r="C45" s="1322"/>
      <c r="D45" s="1574"/>
      <c r="E45" s="1323"/>
      <c r="F45" s="1345"/>
      <c r="G45" s="1346"/>
      <c r="H45" s="1347"/>
      <c r="I45" s="1202"/>
      <c r="J45" s="1202"/>
      <c r="K45" s="722" t="s">
        <v>267</v>
      </c>
      <c r="L45" s="608">
        <v>10</v>
      </c>
      <c r="M45" s="608">
        <v>10</v>
      </c>
      <c r="N45" s="781">
        <v>10</v>
      </c>
    </row>
    <row r="46" spans="1:14" ht="13.5" thickBot="1">
      <c r="A46" s="1909"/>
      <c r="B46" s="1909"/>
      <c r="C46" s="1185" t="s">
        <v>118</v>
      </c>
      <c r="D46" s="1421"/>
      <c r="E46" s="1421"/>
      <c r="F46" s="1421"/>
      <c r="G46" s="1422"/>
      <c r="H46" s="873">
        <f>SUM(H44)</f>
        <v>0.1</v>
      </c>
      <c r="I46" s="874">
        <f>SUM(I44)</f>
        <v>0.10060000000000001</v>
      </c>
      <c r="J46" s="874">
        <f>SUM(J44)</f>
        <v>0.1012036</v>
      </c>
      <c r="K46" s="139"/>
      <c r="L46" s="139"/>
      <c r="M46" s="139"/>
      <c r="N46" s="200"/>
    </row>
    <row r="47" spans="1:14" ht="35.25" customHeight="1" thickBot="1">
      <c r="A47" s="1909"/>
      <c r="B47" s="1909"/>
      <c r="C47" s="1340" t="s">
        <v>497</v>
      </c>
      <c r="D47" s="1166"/>
      <c r="E47" s="1167"/>
      <c r="F47" s="861" t="s">
        <v>171</v>
      </c>
      <c r="G47" s="862" t="s">
        <v>135</v>
      </c>
      <c r="H47" s="590">
        <v>5.3</v>
      </c>
      <c r="I47" s="590">
        <f>H47*1.006</f>
        <v>5.3317999999999994</v>
      </c>
      <c r="J47" s="590">
        <f>I47*1.006</f>
        <v>5.3637907999999994</v>
      </c>
      <c r="K47" s="507" t="s">
        <v>541</v>
      </c>
      <c r="L47" s="1056">
        <v>2033</v>
      </c>
      <c r="M47" s="1056">
        <v>2040</v>
      </c>
      <c r="N47" s="1057">
        <v>2045</v>
      </c>
    </row>
    <row r="48" spans="1:14" ht="13.5" thickBot="1">
      <c r="A48" s="1909"/>
      <c r="B48" s="1909"/>
      <c r="C48" s="1153" t="s">
        <v>118</v>
      </c>
      <c r="D48" s="1421"/>
      <c r="E48" s="1421"/>
      <c r="F48" s="1421"/>
      <c r="G48" s="1422"/>
      <c r="H48" s="873">
        <f>SUM(H47)</f>
        <v>5.3</v>
      </c>
      <c r="I48" s="874">
        <f>SUM(I47)</f>
        <v>5.3317999999999994</v>
      </c>
      <c r="J48" s="874">
        <f>SUM(J47)</f>
        <v>5.3637907999999994</v>
      </c>
      <c r="K48" s="139"/>
      <c r="L48" s="139"/>
      <c r="M48" s="139"/>
      <c r="N48" s="200"/>
    </row>
    <row r="49" spans="1:14" ht="30.75" customHeight="1" thickBot="1">
      <c r="A49" s="1909"/>
      <c r="B49" s="1909"/>
      <c r="C49" s="1340" t="s">
        <v>479</v>
      </c>
      <c r="D49" s="1166"/>
      <c r="E49" s="1167"/>
      <c r="F49" s="861" t="s">
        <v>171</v>
      </c>
      <c r="G49" s="862" t="s">
        <v>135</v>
      </c>
      <c r="H49" s="590">
        <v>0.6</v>
      </c>
      <c r="I49" s="590">
        <f>H49*1.006</f>
        <v>0.60360000000000003</v>
      </c>
      <c r="J49" s="590">
        <f>I49*1.006</f>
        <v>0.60722160000000003</v>
      </c>
      <c r="K49" s="813" t="s">
        <v>477</v>
      </c>
      <c r="L49" s="813">
        <v>30</v>
      </c>
      <c r="M49" s="813">
        <v>10</v>
      </c>
      <c r="N49" s="814">
        <v>10</v>
      </c>
    </row>
    <row r="50" spans="1:14" s="16" customFormat="1" ht="13.5" thickBot="1">
      <c r="A50" s="1909"/>
      <c r="B50" s="1909"/>
      <c r="C50" s="1185" t="s">
        <v>118</v>
      </c>
      <c r="D50" s="1421"/>
      <c r="E50" s="1421"/>
      <c r="F50" s="1421"/>
      <c r="G50" s="1422"/>
      <c r="H50" s="873">
        <f>SUM(H49)</f>
        <v>0.6</v>
      </c>
      <c r="I50" s="874">
        <f>SUM(I49)</f>
        <v>0.60360000000000003</v>
      </c>
      <c r="J50" s="874">
        <f>SUM(J49)</f>
        <v>0.60722160000000003</v>
      </c>
      <c r="K50" s="139"/>
      <c r="L50" s="139"/>
      <c r="M50" s="139"/>
      <c r="N50" s="200"/>
    </row>
    <row r="51" spans="1:14" ht="33" customHeight="1">
      <c r="A51" s="1909"/>
      <c r="B51" s="1909"/>
      <c r="C51" s="1340" t="s">
        <v>480</v>
      </c>
      <c r="D51" s="1166"/>
      <c r="E51" s="1167"/>
      <c r="F51" s="1737" t="s">
        <v>171</v>
      </c>
      <c r="G51" s="1197" t="s">
        <v>135</v>
      </c>
      <c r="H51" s="1374">
        <v>8.1</v>
      </c>
      <c r="I51" s="1374">
        <f>H51*1.006</f>
        <v>8.1486000000000001</v>
      </c>
      <c r="J51" s="1374">
        <f>I51*1.006</f>
        <v>8.1974915999999993</v>
      </c>
      <c r="K51" s="507" t="s">
        <v>327</v>
      </c>
      <c r="L51" s="492">
        <v>420</v>
      </c>
      <c r="M51" s="492">
        <v>380</v>
      </c>
      <c r="N51" s="882">
        <v>380</v>
      </c>
    </row>
    <row r="52" spans="1:14">
      <c r="A52" s="1909"/>
      <c r="B52" s="1909"/>
      <c r="C52" s="1322"/>
      <c r="D52" s="1574"/>
      <c r="E52" s="1323"/>
      <c r="F52" s="1531"/>
      <c r="G52" s="1463"/>
      <c r="H52" s="1566"/>
      <c r="I52" s="1229"/>
      <c r="J52" s="1229"/>
      <c r="K52" s="534" t="s">
        <v>321</v>
      </c>
      <c r="L52" s="501">
        <v>8</v>
      </c>
      <c r="M52" s="501">
        <v>8</v>
      </c>
      <c r="N52" s="883">
        <v>8</v>
      </c>
    </row>
    <row r="53" spans="1:14" ht="13.5" thickBot="1">
      <c r="A53" s="1909"/>
      <c r="B53" s="1909"/>
      <c r="C53" s="1322"/>
      <c r="D53" s="1574"/>
      <c r="E53" s="1323"/>
      <c r="F53" s="1531"/>
      <c r="G53" s="1346"/>
      <c r="H53" s="1381"/>
      <c r="I53" s="1202"/>
      <c r="J53" s="1202"/>
      <c r="K53" s="608" t="s">
        <v>328</v>
      </c>
      <c r="L53" s="502">
        <v>14</v>
      </c>
      <c r="M53" s="502">
        <v>15</v>
      </c>
      <c r="N53" s="884">
        <v>14</v>
      </c>
    </row>
    <row r="54" spans="1:14" ht="13.5" thickBot="1">
      <c r="A54" s="1909"/>
      <c r="B54" s="1909"/>
      <c r="C54" s="1185" t="s">
        <v>118</v>
      </c>
      <c r="D54" s="1421"/>
      <c r="E54" s="1421"/>
      <c r="F54" s="1421"/>
      <c r="G54" s="1422"/>
      <c r="H54" s="873">
        <f>SUM(H51)</f>
        <v>8.1</v>
      </c>
      <c r="I54" s="874">
        <f>SUM(I51)</f>
        <v>8.1486000000000001</v>
      </c>
      <c r="J54" s="874">
        <f>SUM(J51)</f>
        <v>8.1974915999999993</v>
      </c>
      <c r="K54" s="139"/>
      <c r="L54" s="139"/>
      <c r="M54" s="139"/>
      <c r="N54" s="200"/>
    </row>
    <row r="55" spans="1:14" s="16" customFormat="1" ht="15" customHeight="1">
      <c r="A55" s="1909"/>
      <c r="B55" s="1909"/>
      <c r="C55" s="1340" t="s">
        <v>486</v>
      </c>
      <c r="D55" s="1166"/>
      <c r="E55" s="1167"/>
      <c r="F55" s="1189" t="s">
        <v>171</v>
      </c>
      <c r="G55" s="1197" t="s">
        <v>135</v>
      </c>
      <c r="H55" s="1374">
        <v>17.8</v>
      </c>
      <c r="I55" s="1374">
        <f>H55*1.006</f>
        <v>17.9068</v>
      </c>
      <c r="J55" s="1933">
        <f>I55*1.006</f>
        <v>18.0142408</v>
      </c>
      <c r="K55" s="507" t="s">
        <v>280</v>
      </c>
      <c r="L55" s="507">
        <v>1200</v>
      </c>
      <c r="M55" s="507">
        <v>1250</v>
      </c>
      <c r="N55" s="885">
        <v>1300</v>
      </c>
    </row>
    <row r="56" spans="1:14" s="16" customFormat="1" ht="22.5">
      <c r="A56" s="1909"/>
      <c r="B56" s="1909"/>
      <c r="C56" s="1322"/>
      <c r="D56" s="1574"/>
      <c r="E56" s="1323"/>
      <c r="F56" s="1911"/>
      <c r="G56" s="1463"/>
      <c r="H56" s="1566"/>
      <c r="I56" s="1229"/>
      <c r="J56" s="1934"/>
      <c r="K56" s="501" t="s">
        <v>278</v>
      </c>
      <c r="L56" s="501">
        <v>1040</v>
      </c>
      <c r="M56" s="501">
        <v>1060</v>
      </c>
      <c r="N56" s="883">
        <v>1080</v>
      </c>
    </row>
    <row r="57" spans="1:14" s="16" customFormat="1" ht="23.25" thickBot="1">
      <c r="A57" s="1909"/>
      <c r="B57" s="1909"/>
      <c r="C57" s="1322"/>
      <c r="D57" s="1574"/>
      <c r="E57" s="1323"/>
      <c r="F57" s="1912"/>
      <c r="G57" s="1346"/>
      <c r="H57" s="1381"/>
      <c r="I57" s="1202"/>
      <c r="J57" s="1935"/>
      <c r="K57" s="722" t="s">
        <v>279</v>
      </c>
      <c r="L57" s="722">
        <v>865</v>
      </c>
      <c r="M57" s="722">
        <v>885</v>
      </c>
      <c r="N57" s="886">
        <v>900</v>
      </c>
    </row>
    <row r="58" spans="1:14" ht="13.5" thickBot="1">
      <c r="A58" s="1909"/>
      <c r="B58" s="1909"/>
      <c r="C58" s="1153" t="s">
        <v>118</v>
      </c>
      <c r="D58" s="1587"/>
      <c r="E58" s="1587"/>
      <c r="F58" s="1587"/>
      <c r="G58" s="1588"/>
      <c r="H58" s="873">
        <f>SUM(H55)</f>
        <v>17.8</v>
      </c>
      <c r="I58" s="874">
        <f>SUM(I55)</f>
        <v>17.9068</v>
      </c>
      <c r="J58" s="874">
        <f>SUM(J55)</f>
        <v>18.0142408</v>
      </c>
      <c r="K58" s="139"/>
      <c r="L58" s="139"/>
      <c r="M58" s="139"/>
      <c r="N58" s="200"/>
    </row>
    <row r="59" spans="1:14" s="319" customFormat="1" ht="28.5" customHeight="1" thickBot="1">
      <c r="A59" s="1909"/>
      <c r="B59" s="1909"/>
      <c r="C59" s="1709" t="s">
        <v>481</v>
      </c>
      <c r="D59" s="1419"/>
      <c r="E59" s="1420"/>
      <c r="F59" s="1016" t="s">
        <v>171</v>
      </c>
      <c r="G59" s="522" t="s">
        <v>135</v>
      </c>
      <c r="H59" s="1011">
        <v>0.7</v>
      </c>
      <c r="I59" s="1011">
        <f>H59*1.006</f>
        <v>0.70419999999999994</v>
      </c>
      <c r="J59" s="1011">
        <f>I59*1.006</f>
        <v>0.70842519999999998</v>
      </c>
      <c r="K59" s="1017" t="s">
        <v>509</v>
      </c>
      <c r="L59" s="524">
        <v>42077</v>
      </c>
      <c r="M59" s="524">
        <v>42000</v>
      </c>
      <c r="N59" s="700">
        <v>41940</v>
      </c>
    </row>
    <row r="60" spans="1:14" ht="13.5" thickBot="1">
      <c r="A60" s="1909"/>
      <c r="B60" s="1909"/>
      <c r="C60" s="1153" t="s">
        <v>118</v>
      </c>
      <c r="D60" s="1421"/>
      <c r="E60" s="1421"/>
      <c r="F60" s="1421"/>
      <c r="G60" s="1422"/>
      <c r="H60" s="873">
        <f>SUM(H59)</f>
        <v>0.7</v>
      </c>
      <c r="I60" s="874">
        <f>SUM(I59)</f>
        <v>0.70419999999999994</v>
      </c>
      <c r="J60" s="874">
        <f>SUM(J59)</f>
        <v>0.70842519999999998</v>
      </c>
      <c r="K60" s="227"/>
      <c r="L60" s="139"/>
      <c r="M60" s="139"/>
      <c r="N60" s="200"/>
    </row>
    <row r="61" spans="1:14" ht="33" customHeight="1" thickBot="1">
      <c r="A61" s="1909"/>
      <c r="B61" s="1909"/>
      <c r="C61" s="1340" t="s">
        <v>482</v>
      </c>
      <c r="D61" s="1166"/>
      <c r="E61" s="1167"/>
      <c r="F61" s="861" t="s">
        <v>171</v>
      </c>
      <c r="G61" s="862" t="s">
        <v>135</v>
      </c>
      <c r="H61" s="590">
        <v>7.7</v>
      </c>
      <c r="I61" s="590">
        <f>H61*1.006</f>
        <v>7.7462</v>
      </c>
      <c r="J61" s="590">
        <f>I61*1.006</f>
        <v>7.7926772</v>
      </c>
      <c r="K61" s="881" t="s">
        <v>498</v>
      </c>
      <c r="L61" s="813">
        <v>1450</v>
      </c>
      <c r="M61" s="813">
        <v>1450</v>
      </c>
      <c r="N61" s="813">
        <v>1450</v>
      </c>
    </row>
    <row r="62" spans="1:14" ht="13.5" thickBot="1">
      <c r="A62" s="1909"/>
      <c r="B62" s="1909"/>
      <c r="C62" s="1185" t="s">
        <v>118</v>
      </c>
      <c r="D62" s="1421"/>
      <c r="E62" s="1421"/>
      <c r="F62" s="1421"/>
      <c r="G62" s="1422"/>
      <c r="H62" s="873">
        <f>SUM(H61)</f>
        <v>7.7</v>
      </c>
      <c r="I62" s="874">
        <f>SUM(I61)</f>
        <v>7.7462</v>
      </c>
      <c r="J62" s="874">
        <f>SUM(J61)</f>
        <v>7.7926772</v>
      </c>
      <c r="K62" s="227"/>
      <c r="L62" s="139"/>
      <c r="M62" s="139"/>
      <c r="N62" s="228"/>
    </row>
    <row r="63" spans="1:14" ht="16.5" customHeight="1">
      <c r="A63" s="1909"/>
      <c r="B63" s="1909"/>
      <c r="C63" s="1186" t="s">
        <v>487</v>
      </c>
      <c r="D63" s="1904"/>
      <c r="E63" s="1904"/>
      <c r="F63" s="1189" t="s">
        <v>171</v>
      </c>
      <c r="G63" s="1191" t="s">
        <v>135</v>
      </c>
      <c r="H63" s="1642">
        <v>16.5</v>
      </c>
      <c r="I63" s="1642">
        <f>H63*1.006</f>
        <v>16.599</v>
      </c>
      <c r="J63" s="1642">
        <f>I63*1.006</f>
        <v>16.698594</v>
      </c>
      <c r="K63" s="889" t="s">
        <v>329</v>
      </c>
      <c r="L63" s="731">
        <v>1</v>
      </c>
      <c r="M63" s="731">
        <v>1</v>
      </c>
      <c r="N63" s="779">
        <v>1</v>
      </c>
    </row>
    <row r="64" spans="1:14" s="223" customFormat="1" ht="24" customHeight="1" thickBot="1">
      <c r="A64" s="1909"/>
      <c r="B64" s="1909"/>
      <c r="C64" s="1905"/>
      <c r="D64" s="1906"/>
      <c r="E64" s="1906"/>
      <c r="F64" s="1912"/>
      <c r="G64" s="1850"/>
      <c r="H64" s="1467"/>
      <c r="I64" s="1903"/>
      <c r="J64" s="1903"/>
      <c r="K64" s="890" t="s">
        <v>330</v>
      </c>
      <c r="L64" s="608">
        <v>24</v>
      </c>
      <c r="M64" s="608">
        <v>24</v>
      </c>
      <c r="N64" s="781">
        <v>24</v>
      </c>
    </row>
    <row r="65" spans="1:14" ht="13.5" thickBot="1">
      <c r="A65" s="1909"/>
      <c r="B65" s="1909"/>
      <c r="C65" s="1185" t="s">
        <v>118</v>
      </c>
      <c r="D65" s="1421"/>
      <c r="E65" s="1421"/>
      <c r="F65" s="1421"/>
      <c r="G65" s="1422"/>
      <c r="H65" s="873">
        <f>SUM(H63)</f>
        <v>16.5</v>
      </c>
      <c r="I65" s="874">
        <f>SUM(I63)</f>
        <v>16.599</v>
      </c>
      <c r="J65" s="874">
        <f>SUM(J63)</f>
        <v>16.698594</v>
      </c>
      <c r="K65" s="230"/>
      <c r="L65" s="139"/>
      <c r="M65" s="139"/>
      <c r="N65" s="200"/>
    </row>
    <row r="66" spans="1:14" ht="23.25" thickBot="1">
      <c r="A66" s="1909"/>
      <c r="B66" s="1909"/>
      <c r="C66" s="1930" t="s">
        <v>483</v>
      </c>
      <c r="D66" s="1526"/>
      <c r="E66" s="1527"/>
      <c r="F66" s="229" t="s">
        <v>171</v>
      </c>
      <c r="G66" s="862" t="s">
        <v>135</v>
      </c>
      <c r="H66" s="590">
        <v>100.6</v>
      </c>
      <c r="I66" s="590">
        <f>H66*1.006</f>
        <v>101.20359999999999</v>
      </c>
      <c r="J66" s="590">
        <f>I66*1.006</f>
        <v>101.8108216</v>
      </c>
      <c r="K66" s="881" t="s">
        <v>265</v>
      </c>
      <c r="L66" s="813">
        <v>1980</v>
      </c>
      <c r="M66" s="813">
        <v>1990</v>
      </c>
      <c r="N66" s="814">
        <v>1910</v>
      </c>
    </row>
    <row r="67" spans="1:14" ht="13.5" thickBot="1">
      <c r="A67" s="1909"/>
      <c r="B67" s="1909"/>
      <c r="C67" s="1153" t="s">
        <v>118</v>
      </c>
      <c r="D67" s="1421"/>
      <c r="E67" s="1421"/>
      <c r="F67" s="1421"/>
      <c r="G67" s="1422"/>
      <c r="H67" s="873">
        <f>SUM(H66)</f>
        <v>100.6</v>
      </c>
      <c r="I67" s="874">
        <f>SUM(I66)</f>
        <v>101.20359999999999</v>
      </c>
      <c r="J67" s="874">
        <f>SUM(J66)</f>
        <v>101.8108216</v>
      </c>
      <c r="K67" s="139"/>
      <c r="L67" s="139"/>
      <c r="M67" s="139"/>
      <c r="N67" s="200"/>
    </row>
    <row r="68" spans="1:14" s="16" customFormat="1" ht="11.25" customHeight="1">
      <c r="A68" s="1909"/>
      <c r="B68" s="1909"/>
      <c r="C68" s="1186" t="s">
        <v>488</v>
      </c>
      <c r="D68" s="1904"/>
      <c r="E68" s="1904"/>
      <c r="F68" s="1189" t="s">
        <v>171</v>
      </c>
      <c r="G68" s="1191" t="s">
        <v>135</v>
      </c>
      <c r="H68" s="1642">
        <v>4.7</v>
      </c>
      <c r="I68" s="1642">
        <f>H68*1.006</f>
        <v>4.7282000000000002</v>
      </c>
      <c r="J68" s="1642">
        <f>I68*1.006</f>
        <v>4.7565692000000004</v>
      </c>
      <c r="K68" s="1524" t="s">
        <v>331</v>
      </c>
      <c r="L68" s="1898">
        <v>380</v>
      </c>
      <c r="M68" s="1898">
        <v>400</v>
      </c>
      <c r="N68" s="1900">
        <v>420</v>
      </c>
    </row>
    <row r="69" spans="1:14">
      <c r="A69" s="1909"/>
      <c r="B69" s="1909"/>
      <c r="C69" s="1188"/>
      <c r="D69" s="1169"/>
      <c r="E69" s="1169"/>
      <c r="F69" s="1181"/>
      <c r="G69" s="1181"/>
      <c r="H69" s="1181"/>
      <c r="I69" s="1181"/>
      <c r="J69" s="1181"/>
      <c r="K69" s="1187"/>
      <c r="L69" s="1899"/>
      <c r="M69" s="1899"/>
      <c r="N69" s="1901"/>
    </row>
    <row r="70" spans="1:14" s="223" customFormat="1" ht="23.25" thickBot="1">
      <c r="A70" s="1909"/>
      <c r="B70" s="1909"/>
      <c r="C70" s="1905"/>
      <c r="D70" s="1906"/>
      <c r="E70" s="1906"/>
      <c r="F70" s="1467"/>
      <c r="G70" s="1467"/>
      <c r="H70" s="1467"/>
      <c r="I70" s="1467"/>
      <c r="J70" s="1467"/>
      <c r="K70" s="588" t="s">
        <v>332</v>
      </c>
      <c r="L70" s="892">
        <v>213</v>
      </c>
      <c r="M70" s="892">
        <v>220</v>
      </c>
      <c r="N70" s="893">
        <v>230</v>
      </c>
    </row>
    <row r="71" spans="1:14" s="223" customFormat="1" ht="13.5" thickBot="1">
      <c r="A71" s="1909"/>
      <c r="B71" s="1909"/>
      <c r="C71" s="1185" t="s">
        <v>118</v>
      </c>
      <c r="D71" s="1421"/>
      <c r="E71" s="1421"/>
      <c r="F71" s="1421"/>
      <c r="G71" s="1422"/>
      <c r="H71" s="873">
        <f>H68</f>
        <v>4.7</v>
      </c>
      <c r="I71" s="873">
        <f>I68</f>
        <v>4.7282000000000002</v>
      </c>
      <c r="J71" s="873">
        <f>J68</f>
        <v>4.7565692000000004</v>
      </c>
      <c r="K71" s="231"/>
      <c r="L71" s="238"/>
      <c r="M71" s="238"/>
      <c r="N71" s="239"/>
    </row>
    <row r="72" spans="1:14" ht="22.5" customHeight="1" thickBot="1">
      <c r="A72" s="1909"/>
      <c r="B72" s="1909"/>
      <c r="C72" s="1915" t="s">
        <v>484</v>
      </c>
      <c r="D72" s="1157"/>
      <c r="E72" s="1158"/>
      <c r="F72" s="107" t="s">
        <v>171</v>
      </c>
      <c r="G72" s="864" t="s">
        <v>135</v>
      </c>
      <c r="H72" s="605">
        <v>55.6</v>
      </c>
      <c r="I72" s="605">
        <v>0</v>
      </c>
      <c r="J72" s="605">
        <v>0</v>
      </c>
      <c r="K72" s="722" t="s">
        <v>489</v>
      </c>
      <c r="L72" s="608">
        <v>20</v>
      </c>
      <c r="M72" s="608"/>
      <c r="N72" s="781"/>
    </row>
    <row r="73" spans="1:14" ht="13.5" thickBot="1">
      <c r="A73" s="1909"/>
      <c r="B73" s="1909"/>
      <c r="C73" s="1153" t="s">
        <v>118</v>
      </c>
      <c r="D73" s="1421"/>
      <c r="E73" s="1421"/>
      <c r="F73" s="1421"/>
      <c r="G73" s="1422"/>
      <c r="H73" s="873">
        <f>SUM(H72)</f>
        <v>55.6</v>
      </c>
      <c r="I73" s="874">
        <f>SUM(I72)</f>
        <v>0</v>
      </c>
      <c r="J73" s="874">
        <f>SUM(J72)</f>
        <v>0</v>
      </c>
      <c r="K73" s="227"/>
      <c r="L73" s="139"/>
      <c r="M73" s="139"/>
      <c r="N73" s="228"/>
    </row>
    <row r="74" spans="1:14" ht="33.75" customHeight="1" thickBot="1">
      <c r="A74" s="1909"/>
      <c r="B74" s="1909"/>
      <c r="C74" s="1709" t="s">
        <v>485</v>
      </c>
      <c r="D74" s="1419"/>
      <c r="E74" s="1420"/>
      <c r="F74" s="229" t="s">
        <v>171</v>
      </c>
      <c r="G74" s="862" t="s">
        <v>135</v>
      </c>
      <c r="H74" s="590">
        <v>12.2</v>
      </c>
      <c r="I74" s="590">
        <f>H74*1.006</f>
        <v>12.273199999999999</v>
      </c>
      <c r="J74" s="590">
        <f>I74*1.006</f>
        <v>12.3468392</v>
      </c>
      <c r="K74" s="881" t="s">
        <v>264</v>
      </c>
      <c r="L74" s="813">
        <v>40</v>
      </c>
      <c r="M74" s="813">
        <v>42</v>
      </c>
      <c r="N74" s="891">
        <v>44</v>
      </c>
    </row>
    <row r="75" spans="1:14" ht="13.5" thickBot="1">
      <c r="A75" s="1909"/>
      <c r="B75" s="1909"/>
      <c r="C75" s="1153" t="s">
        <v>118</v>
      </c>
      <c r="D75" s="1421"/>
      <c r="E75" s="1421"/>
      <c r="F75" s="1421"/>
      <c r="G75" s="1422"/>
      <c r="H75" s="873">
        <f>SUM(H74)</f>
        <v>12.2</v>
      </c>
      <c r="I75" s="874">
        <f>SUM(I74)</f>
        <v>12.273199999999999</v>
      </c>
      <c r="J75" s="874">
        <f>SUM(J74)</f>
        <v>12.3468392</v>
      </c>
      <c r="K75" s="227"/>
      <c r="L75" s="139"/>
      <c r="M75" s="139"/>
      <c r="N75" s="228"/>
    </row>
    <row r="76" spans="1:14" ht="25.5" customHeight="1" thickBot="1">
      <c r="A76" s="1909"/>
      <c r="B76" s="1909"/>
      <c r="C76" s="1299" t="s">
        <v>493</v>
      </c>
      <c r="D76" s="1322"/>
      <c r="E76" s="1323"/>
      <c r="F76" s="861" t="s">
        <v>171</v>
      </c>
      <c r="G76" s="862" t="s">
        <v>135</v>
      </c>
      <c r="H76" s="590">
        <v>10.199999999999999</v>
      </c>
      <c r="I76" s="590">
        <f>H76*1.006</f>
        <v>10.261199999999999</v>
      </c>
      <c r="J76" s="590">
        <f>I76*1.006</f>
        <v>10.322767199999999</v>
      </c>
      <c r="K76" s="894" t="s">
        <v>285</v>
      </c>
      <c r="L76" s="813">
        <v>6700</v>
      </c>
      <c r="M76" s="813">
        <v>6750</v>
      </c>
      <c r="N76" s="814">
        <v>6800</v>
      </c>
    </row>
    <row r="77" spans="1:14" ht="13.5" thickBot="1">
      <c r="A77" s="1909"/>
      <c r="B77" s="1909"/>
      <c r="C77" s="1153" t="s">
        <v>118</v>
      </c>
      <c r="D77" s="1421"/>
      <c r="E77" s="1421"/>
      <c r="F77" s="1421"/>
      <c r="G77" s="1422"/>
      <c r="H77" s="873">
        <f>SUM(H76)</f>
        <v>10.199999999999999</v>
      </c>
      <c r="I77" s="874">
        <f>SUM(I76)</f>
        <v>10.261199999999999</v>
      </c>
      <c r="J77" s="874">
        <f>SUM(J76)</f>
        <v>10.322767199999999</v>
      </c>
      <c r="K77" s="227"/>
      <c r="L77" s="139"/>
      <c r="M77" s="139"/>
      <c r="N77" s="228"/>
    </row>
    <row r="78" spans="1:14" ht="18.75" customHeight="1" thickBot="1">
      <c r="A78" s="1909"/>
      <c r="B78" s="1909"/>
      <c r="C78" s="1165" t="s">
        <v>494</v>
      </c>
      <c r="D78" s="1166"/>
      <c r="E78" s="1167"/>
      <c r="F78" s="861" t="s">
        <v>171</v>
      </c>
      <c r="G78" s="862" t="s">
        <v>135</v>
      </c>
      <c r="H78" s="590">
        <v>10.199999999999999</v>
      </c>
      <c r="I78" s="590">
        <f>H78*1.006</f>
        <v>10.261199999999999</v>
      </c>
      <c r="J78" s="590">
        <f>I78*1.006</f>
        <v>10.322767199999999</v>
      </c>
      <c r="K78" s="887" t="s">
        <v>286</v>
      </c>
      <c r="L78" s="608">
        <v>1</v>
      </c>
      <c r="M78" s="608">
        <v>1</v>
      </c>
      <c r="N78" s="888">
        <v>1</v>
      </c>
    </row>
    <row r="79" spans="1:14" s="16" customFormat="1" ht="13.5" thickBot="1">
      <c r="A79" s="1909"/>
      <c r="B79" s="1909"/>
      <c r="C79" s="1153" t="s">
        <v>118</v>
      </c>
      <c r="D79" s="1421"/>
      <c r="E79" s="1421"/>
      <c r="F79" s="1421"/>
      <c r="G79" s="1422"/>
      <c r="H79" s="873">
        <f>SUM(H78)</f>
        <v>10.199999999999999</v>
      </c>
      <c r="I79" s="874">
        <f>SUM(I78)</f>
        <v>10.261199999999999</v>
      </c>
      <c r="J79" s="874">
        <f>SUM(J78)</f>
        <v>10.322767199999999</v>
      </c>
      <c r="K79" s="233"/>
      <c r="L79" s="136"/>
      <c r="M79" s="136"/>
      <c r="N79" s="234"/>
    </row>
    <row r="80" spans="1:14" ht="25.5" customHeight="1" thickBot="1">
      <c r="A80" s="1909"/>
      <c r="B80" s="1909"/>
      <c r="C80" s="1165" t="s">
        <v>495</v>
      </c>
      <c r="D80" s="1166"/>
      <c r="E80" s="1167"/>
      <c r="F80" s="861" t="s">
        <v>171</v>
      </c>
      <c r="G80" s="862" t="s">
        <v>135</v>
      </c>
      <c r="H80" s="590">
        <v>3.9</v>
      </c>
      <c r="I80" s="590">
        <f>H80*1.006</f>
        <v>3.9234</v>
      </c>
      <c r="J80" s="590">
        <f>I80*1.006</f>
        <v>3.9469403999999999</v>
      </c>
      <c r="K80" s="812" t="s">
        <v>490</v>
      </c>
      <c r="L80" s="813">
        <v>20</v>
      </c>
      <c r="M80" s="813">
        <v>20</v>
      </c>
      <c r="N80" s="814">
        <v>20</v>
      </c>
    </row>
    <row r="81" spans="1:14" ht="13.5" thickBot="1">
      <c r="A81" s="1909"/>
      <c r="B81" s="1909"/>
      <c r="C81" s="1153" t="s">
        <v>118</v>
      </c>
      <c r="D81" s="1421"/>
      <c r="E81" s="1421"/>
      <c r="F81" s="1421"/>
      <c r="G81" s="1422"/>
      <c r="H81" s="873">
        <f>SUM(H80)</f>
        <v>3.9</v>
      </c>
      <c r="I81" s="874">
        <f>SUM(I80)</f>
        <v>3.9234</v>
      </c>
      <c r="J81" s="874">
        <f>SUM(J80)</f>
        <v>3.9469403999999999</v>
      </c>
      <c r="K81" s="139"/>
      <c r="L81" s="139"/>
      <c r="M81" s="139"/>
      <c r="N81" s="200"/>
    </row>
    <row r="82" spans="1:14" s="16" customFormat="1" ht="24" customHeight="1" thickBot="1">
      <c r="A82" s="1909"/>
      <c r="B82" s="1909"/>
      <c r="C82" s="1165" t="s">
        <v>496</v>
      </c>
      <c r="D82" s="1166"/>
      <c r="E82" s="1167"/>
      <c r="F82" s="861" t="s">
        <v>171</v>
      </c>
      <c r="G82" s="862" t="s">
        <v>135</v>
      </c>
      <c r="H82" s="590">
        <v>8.4</v>
      </c>
      <c r="I82" s="590">
        <f>H82*1.006</f>
        <v>8.4504000000000001</v>
      </c>
      <c r="J82" s="590">
        <f>I82*1.006</f>
        <v>8.5011024000000006</v>
      </c>
      <c r="K82" s="813" t="s">
        <v>491</v>
      </c>
      <c r="L82" s="813">
        <v>42</v>
      </c>
      <c r="M82" s="813">
        <v>45</v>
      </c>
      <c r="N82" s="814">
        <v>50</v>
      </c>
    </row>
    <row r="83" spans="1:14" ht="13.5" thickBot="1">
      <c r="A83" s="1909"/>
      <c r="B83" s="1910"/>
      <c r="C83" s="1153" t="s">
        <v>118</v>
      </c>
      <c r="D83" s="1421"/>
      <c r="E83" s="1421"/>
      <c r="F83" s="1421"/>
      <c r="G83" s="1422"/>
      <c r="H83" s="895">
        <f>SUM(H82)</f>
        <v>8.4</v>
      </c>
      <c r="I83" s="896">
        <f>SUM(I82)</f>
        <v>8.4504000000000001</v>
      </c>
      <c r="J83" s="896">
        <f>SUM(J82)</f>
        <v>8.5011024000000006</v>
      </c>
      <c r="K83" s="140"/>
      <c r="L83" s="140"/>
      <c r="M83" s="140"/>
      <c r="N83" s="203"/>
    </row>
    <row r="84" spans="1:14" ht="13.5" thickBot="1">
      <c r="A84" s="1910"/>
      <c r="B84" s="1159" t="s">
        <v>119</v>
      </c>
      <c r="C84" s="1424"/>
      <c r="D84" s="1424"/>
      <c r="E84" s="1424"/>
      <c r="F84" s="1424"/>
      <c r="G84" s="1424"/>
      <c r="H84" s="897">
        <f>H43+H46+H48+H50+H54+H58+H60+H62+H65+H67+H69+H71+H73+H75+H77+H79+H81+H83</f>
        <v>293.19999999999993</v>
      </c>
      <c r="I84" s="897">
        <f>I43+I46+I48+I50+I54+I58+I60+I62+I65+I67+I69+I71+I73+I75+I77+I79+I81+I83</f>
        <v>239.02559999999997</v>
      </c>
      <c r="J84" s="897">
        <f>J43+J46+J48+J50+J54+J58+J60+J62+J65+J67+J69+J71+J73+J75+J77+J79+J81+J83</f>
        <v>240.45975359999997</v>
      </c>
      <c r="K84" s="235"/>
      <c r="L84" s="139"/>
      <c r="M84" s="139"/>
      <c r="N84" s="228"/>
    </row>
    <row r="85" spans="1:14" ht="13.5" thickBot="1">
      <c r="A85" s="1297" t="s">
        <v>303</v>
      </c>
      <c r="B85" s="1920"/>
      <c r="C85" s="1920"/>
      <c r="D85" s="1920"/>
      <c r="E85" s="1920"/>
      <c r="F85" s="1920"/>
      <c r="G85" s="1921"/>
      <c r="H85" s="898">
        <f>H84</f>
        <v>293.19999999999993</v>
      </c>
      <c r="I85" s="898">
        <f>I84</f>
        <v>239.02559999999997</v>
      </c>
      <c r="J85" s="898">
        <f>J84</f>
        <v>240.45975359999997</v>
      </c>
      <c r="K85" s="236"/>
      <c r="L85" s="196"/>
      <c r="M85" s="196"/>
      <c r="N85" s="237"/>
    </row>
    <row r="86" spans="1:14" ht="17.25" customHeight="1">
      <c r="A86" s="1171" t="s">
        <v>499</v>
      </c>
      <c r="B86" s="1171" t="s">
        <v>500</v>
      </c>
      <c r="C86" s="1340" t="s">
        <v>501</v>
      </c>
      <c r="D86" s="1166"/>
      <c r="E86" s="1167"/>
      <c r="F86" s="1928" t="s">
        <v>171</v>
      </c>
      <c r="G86" s="1197" t="s">
        <v>121</v>
      </c>
      <c r="H86" s="1197">
        <v>40</v>
      </c>
      <c r="I86" s="1374">
        <f>H86*1.006</f>
        <v>40.24</v>
      </c>
      <c r="J86" s="1374">
        <f>I86*1.006</f>
        <v>40.481439999999999</v>
      </c>
      <c r="K86" s="615" t="s">
        <v>281</v>
      </c>
      <c r="L86" s="594">
        <v>20</v>
      </c>
      <c r="M86" s="594">
        <v>20</v>
      </c>
      <c r="N86" s="899">
        <v>20</v>
      </c>
    </row>
    <row r="87" spans="1:14" ht="18.75" customHeight="1">
      <c r="A87" s="1487"/>
      <c r="B87" s="1487"/>
      <c r="C87" s="1322"/>
      <c r="D87" s="1574"/>
      <c r="E87" s="1323"/>
      <c r="F87" s="1566"/>
      <c r="G87" s="1463"/>
      <c r="H87" s="1463"/>
      <c r="I87" s="1229"/>
      <c r="J87" s="1229"/>
      <c r="K87" s="878" t="s">
        <v>282</v>
      </c>
      <c r="L87" s="625">
        <v>15</v>
      </c>
      <c r="M87" s="625">
        <v>15</v>
      </c>
      <c r="N87" s="900">
        <v>15</v>
      </c>
    </row>
    <row r="88" spans="1:14" ht="19.5" customHeight="1">
      <c r="A88" s="1487"/>
      <c r="B88" s="1487"/>
      <c r="C88" s="1322"/>
      <c r="D88" s="1574"/>
      <c r="E88" s="1323"/>
      <c r="F88" s="1566"/>
      <c r="G88" s="1463"/>
      <c r="H88" s="1463"/>
      <c r="I88" s="1229"/>
      <c r="J88" s="1229"/>
      <c r="K88" s="878" t="s">
        <v>283</v>
      </c>
      <c r="L88" s="625">
        <v>100</v>
      </c>
      <c r="M88" s="625">
        <v>100</v>
      </c>
      <c r="N88" s="900">
        <v>100</v>
      </c>
    </row>
    <row r="89" spans="1:14" ht="30.75" customHeight="1" thickBot="1">
      <c r="A89" s="1487"/>
      <c r="B89" s="1487"/>
      <c r="C89" s="1322"/>
      <c r="D89" s="1574"/>
      <c r="E89" s="1323"/>
      <c r="F89" s="1566"/>
      <c r="G89" s="1463"/>
      <c r="H89" s="1463"/>
      <c r="I89" s="1229"/>
      <c r="J89" s="1229"/>
      <c r="K89" s="878" t="s">
        <v>284</v>
      </c>
      <c r="L89" s="625">
        <v>210</v>
      </c>
      <c r="M89" s="625">
        <v>210</v>
      </c>
      <c r="N89" s="900">
        <v>210</v>
      </c>
    </row>
    <row r="90" spans="1:14" ht="13.5" thickBot="1">
      <c r="A90" s="1487"/>
      <c r="B90" s="1487"/>
      <c r="C90" s="1153" t="s">
        <v>118</v>
      </c>
      <c r="D90" s="1421"/>
      <c r="E90" s="1421"/>
      <c r="F90" s="1421"/>
      <c r="G90" s="1422"/>
      <c r="H90" s="873">
        <f>SUM(H86)</f>
        <v>40</v>
      </c>
      <c r="I90" s="874">
        <f>SUM(I86)</f>
        <v>40.24</v>
      </c>
      <c r="J90" s="874">
        <f>SUM(J86)</f>
        <v>40.481439999999999</v>
      </c>
      <c r="K90" s="235"/>
      <c r="L90" s="139"/>
      <c r="M90" s="139"/>
      <c r="N90" s="228"/>
    </row>
    <row r="91" spans="1:14" s="319" customFormat="1" ht="42.75" customHeight="1" thickBot="1">
      <c r="A91" s="1487"/>
      <c r="B91" s="1487"/>
      <c r="C91" s="1355" t="s">
        <v>513</v>
      </c>
      <c r="D91" s="1356"/>
      <c r="E91" s="1357"/>
      <c r="F91" s="934" t="s">
        <v>171</v>
      </c>
      <c r="G91" s="935" t="s">
        <v>121</v>
      </c>
      <c r="H91" s="909">
        <v>3</v>
      </c>
      <c r="I91" s="910">
        <f>H91*1.006</f>
        <v>3.0179999999999998</v>
      </c>
      <c r="J91" s="910">
        <f>I91*1.006</f>
        <v>3.036108</v>
      </c>
      <c r="K91" s="907" t="s">
        <v>213</v>
      </c>
      <c r="L91" s="880">
        <v>10</v>
      </c>
      <c r="M91" s="880">
        <v>10</v>
      </c>
      <c r="N91" s="908">
        <v>10</v>
      </c>
    </row>
    <row r="92" spans="1:14" s="319" customFormat="1" ht="13.5" thickBot="1">
      <c r="A92" s="1487"/>
      <c r="B92" s="1487"/>
      <c r="C92" s="1185" t="s">
        <v>118</v>
      </c>
      <c r="D92" s="1372"/>
      <c r="E92" s="1372"/>
      <c r="F92" s="1372"/>
      <c r="G92" s="1372"/>
      <c r="H92" s="766">
        <f>SUM(H91)</f>
        <v>3</v>
      </c>
      <c r="I92" s="767">
        <f>SUM(I91)</f>
        <v>3.0179999999999998</v>
      </c>
      <c r="J92" s="767">
        <f>SUM(J91)</f>
        <v>3.036108</v>
      </c>
      <c r="K92" s="391"/>
      <c r="L92" s="139"/>
      <c r="M92" s="139"/>
      <c r="N92" s="228"/>
    </row>
    <row r="93" spans="1:14" ht="23.25" customHeight="1">
      <c r="A93" s="1487"/>
      <c r="B93" s="1487"/>
      <c r="C93" s="1620" t="s">
        <v>512</v>
      </c>
      <c r="D93" s="1289"/>
      <c r="E93" s="1290"/>
      <c r="F93" s="1719" t="s">
        <v>171</v>
      </c>
      <c r="G93" s="1149" t="s">
        <v>121</v>
      </c>
      <c r="H93" s="1331">
        <v>28</v>
      </c>
      <c r="I93" s="1642">
        <f>H93*1.006</f>
        <v>28.167999999999999</v>
      </c>
      <c r="J93" s="1940">
        <f>I93*1.006</f>
        <v>28.337008000000001</v>
      </c>
      <c r="K93" s="901" t="s">
        <v>502</v>
      </c>
      <c r="L93" s="731">
        <v>2</v>
      </c>
      <c r="M93" s="731">
        <v>2</v>
      </c>
      <c r="N93" s="779">
        <v>2</v>
      </c>
    </row>
    <row r="94" spans="1:14" s="319" customFormat="1" ht="27.75" customHeight="1">
      <c r="A94" s="1487"/>
      <c r="B94" s="1487"/>
      <c r="C94" s="1292"/>
      <c r="D94" s="1292"/>
      <c r="E94" s="1293"/>
      <c r="F94" s="1181"/>
      <c r="G94" s="1849"/>
      <c r="H94" s="1929"/>
      <c r="I94" s="1353"/>
      <c r="J94" s="1792"/>
      <c r="K94" s="902" t="s">
        <v>504</v>
      </c>
      <c r="L94" s="534">
        <v>2</v>
      </c>
      <c r="M94" s="534">
        <v>2</v>
      </c>
      <c r="N94" s="535">
        <v>2</v>
      </c>
    </row>
    <row r="95" spans="1:14" s="319" customFormat="1" ht="25.5" customHeight="1">
      <c r="A95" s="1487"/>
      <c r="B95" s="1487"/>
      <c r="C95" s="1292"/>
      <c r="D95" s="1292"/>
      <c r="E95" s="1293"/>
      <c r="F95" s="1181"/>
      <c r="G95" s="1849"/>
      <c r="H95" s="1929"/>
      <c r="I95" s="1353"/>
      <c r="J95" s="1792"/>
      <c r="K95" s="902" t="s">
        <v>503</v>
      </c>
      <c r="L95" s="534">
        <v>1</v>
      </c>
      <c r="M95" s="534">
        <v>1</v>
      </c>
      <c r="N95" s="535">
        <v>1</v>
      </c>
    </row>
    <row r="96" spans="1:14" s="319" customFormat="1" ht="29.25" customHeight="1" thickBot="1">
      <c r="A96" s="1487"/>
      <c r="B96" s="1487"/>
      <c r="C96" s="1295"/>
      <c r="D96" s="1295"/>
      <c r="E96" s="1296"/>
      <c r="F96" s="1183"/>
      <c r="G96" s="1362"/>
      <c r="H96" s="1152"/>
      <c r="I96" s="1354"/>
      <c r="J96" s="1941"/>
      <c r="K96" s="903" t="s">
        <v>505</v>
      </c>
      <c r="L96" s="533">
        <v>1</v>
      </c>
      <c r="M96" s="533"/>
      <c r="N96" s="877">
        <v>1</v>
      </c>
    </row>
    <row r="97" spans="1:16" ht="13.5" thickBot="1">
      <c r="A97" s="1487"/>
      <c r="B97" s="1487"/>
      <c r="C97" s="1185" t="s">
        <v>118</v>
      </c>
      <c r="D97" s="1372"/>
      <c r="E97" s="1372"/>
      <c r="F97" s="1372"/>
      <c r="G97" s="1373"/>
      <c r="H97" s="904">
        <f>SUM(H93)</f>
        <v>28</v>
      </c>
      <c r="I97" s="905">
        <f>SUM(I93)</f>
        <v>28.167999999999999</v>
      </c>
      <c r="J97" s="905">
        <f>SUM(J93)</f>
        <v>28.337008000000001</v>
      </c>
      <c r="K97" s="390"/>
      <c r="L97" s="148"/>
      <c r="M97" s="148"/>
      <c r="N97" s="232"/>
    </row>
    <row r="98" spans="1:16" ht="13.5" thickBot="1">
      <c r="A98" s="1487"/>
      <c r="B98" s="1153" t="s">
        <v>119</v>
      </c>
      <c r="C98" s="1372"/>
      <c r="D98" s="1372"/>
      <c r="E98" s="1372"/>
      <c r="F98" s="1372"/>
      <c r="G98" s="1372"/>
      <c r="H98" s="897">
        <f>H90+H97+H92</f>
        <v>71</v>
      </c>
      <c r="I98" s="906">
        <f>I90+I97+I92</f>
        <v>71.426000000000002</v>
      </c>
      <c r="J98" s="906">
        <f>J90+J97+J92</f>
        <v>71.854556000000002</v>
      </c>
      <c r="K98" s="235"/>
      <c r="L98" s="139"/>
      <c r="M98" s="139"/>
      <c r="N98" s="228"/>
    </row>
    <row r="99" spans="1:16" s="16" customFormat="1" ht="43.5" customHeight="1" thickBot="1">
      <c r="A99" s="1487"/>
      <c r="B99" s="1213" t="s">
        <v>506</v>
      </c>
      <c r="C99" s="1165" t="s">
        <v>510</v>
      </c>
      <c r="D99" s="1166"/>
      <c r="E99" s="1167"/>
      <c r="F99" s="907" t="s">
        <v>171</v>
      </c>
      <c r="G99" s="862" t="s">
        <v>121</v>
      </c>
      <c r="H99" s="611">
        <v>11.7</v>
      </c>
      <c r="I99" s="611">
        <f>H99*1.006</f>
        <v>11.770199999999999</v>
      </c>
      <c r="J99" s="611">
        <f>I99*1.006</f>
        <v>11.840821199999999</v>
      </c>
      <c r="K99" s="916" t="s">
        <v>79</v>
      </c>
      <c r="L99" s="917">
        <v>60</v>
      </c>
      <c r="M99" s="917">
        <v>60</v>
      </c>
      <c r="N99" s="918">
        <v>60</v>
      </c>
    </row>
    <row r="100" spans="1:16" ht="13.5" thickBot="1">
      <c r="A100" s="1487"/>
      <c r="B100" s="1875"/>
      <c r="C100" s="1153" t="s">
        <v>118</v>
      </c>
      <c r="D100" s="1185"/>
      <c r="E100" s="1185"/>
      <c r="F100" s="1185"/>
      <c r="G100" s="1458"/>
      <c r="H100" s="895">
        <f>SUM(H99)</f>
        <v>11.7</v>
      </c>
      <c r="I100" s="896">
        <f>SUM(I99)</f>
        <v>11.770199999999999</v>
      </c>
      <c r="J100" s="896">
        <f>SUM(J99)</f>
        <v>11.840821199999999</v>
      </c>
      <c r="K100" s="388"/>
      <c r="L100" s="386"/>
      <c r="M100" s="386"/>
      <c r="N100" s="387"/>
    </row>
    <row r="101" spans="1:16" s="319" customFormat="1" ht="37.5" customHeight="1" thickBot="1">
      <c r="A101" s="1487"/>
      <c r="B101" s="1875"/>
      <c r="C101" s="1355" t="s">
        <v>511</v>
      </c>
      <c r="D101" s="1356"/>
      <c r="E101" s="1357"/>
      <c r="F101" s="821" t="s">
        <v>171</v>
      </c>
      <c r="G101" s="951" t="s">
        <v>121</v>
      </c>
      <c r="H101" s="949">
        <v>40</v>
      </c>
      <c r="I101" s="950">
        <f>H101*1.006</f>
        <v>40.24</v>
      </c>
      <c r="J101" s="950">
        <f>I101*1.006</f>
        <v>40.481439999999999</v>
      </c>
      <c r="K101" s="587" t="s">
        <v>507</v>
      </c>
      <c r="L101" s="947">
        <v>4</v>
      </c>
      <c r="M101" s="947">
        <v>4</v>
      </c>
      <c r="N101" s="948">
        <v>4</v>
      </c>
    </row>
    <row r="102" spans="1:16" s="319" customFormat="1" ht="13.5" thickBot="1">
      <c r="A102" s="1487"/>
      <c r="B102" s="1889"/>
      <c r="C102" s="1153" t="s">
        <v>118</v>
      </c>
      <c r="D102" s="1372"/>
      <c r="E102" s="1372"/>
      <c r="F102" s="1372"/>
      <c r="G102" s="1373"/>
      <c r="H102" s="766">
        <f>H101</f>
        <v>40</v>
      </c>
      <c r="I102" s="767">
        <f>I101</f>
        <v>40.24</v>
      </c>
      <c r="J102" s="767">
        <f>J101</f>
        <v>40.481439999999999</v>
      </c>
      <c r="K102" s="105"/>
      <c r="L102" s="238"/>
      <c r="M102" s="238"/>
      <c r="N102" s="239"/>
    </row>
    <row r="103" spans="1:16" ht="13.5" thickBot="1">
      <c r="A103" s="1487"/>
      <c r="B103" s="1153" t="s">
        <v>119</v>
      </c>
      <c r="C103" s="1372"/>
      <c r="D103" s="1372"/>
      <c r="E103" s="1372"/>
      <c r="F103" s="1372"/>
      <c r="G103" s="1373"/>
      <c r="H103" s="897">
        <f>H100+H102</f>
        <v>51.7</v>
      </c>
      <c r="I103" s="906">
        <f>I100+I102</f>
        <v>52.010199999999998</v>
      </c>
      <c r="J103" s="906">
        <f>J100+J102</f>
        <v>52.3222612</v>
      </c>
      <c r="K103" s="139"/>
      <c r="L103" s="139"/>
      <c r="M103" s="139"/>
      <c r="N103" s="200"/>
    </row>
    <row r="104" spans="1:16" ht="18" customHeight="1" thickBot="1">
      <c r="A104" s="1487"/>
      <c r="B104" s="1171" t="s">
        <v>508</v>
      </c>
      <c r="C104" s="1930" t="s">
        <v>29</v>
      </c>
      <c r="D104" s="1526"/>
      <c r="E104" s="1527"/>
      <c r="F104" s="870" t="s">
        <v>171</v>
      </c>
      <c r="G104" s="862" t="s">
        <v>121</v>
      </c>
      <c r="H104" s="590">
        <v>10.6</v>
      </c>
      <c r="I104" s="590">
        <f>H104*1.006</f>
        <v>10.663599999999999</v>
      </c>
      <c r="J104" s="590">
        <f>I104*1.006</f>
        <v>10.727581599999999</v>
      </c>
      <c r="K104" s="813" t="s">
        <v>387</v>
      </c>
      <c r="L104" s="871">
        <v>1</v>
      </c>
      <c r="M104" s="871">
        <v>1</v>
      </c>
      <c r="N104" s="872">
        <v>1</v>
      </c>
    </row>
    <row r="105" spans="1:16" s="16" customFormat="1" ht="13.5" thickBot="1">
      <c r="A105" s="1487"/>
      <c r="B105" s="1487"/>
      <c r="C105" s="1153" t="s">
        <v>118</v>
      </c>
      <c r="D105" s="1421"/>
      <c r="E105" s="1421"/>
      <c r="F105" s="1421"/>
      <c r="G105" s="1422"/>
      <c r="H105" s="873">
        <f>SUM(H104)</f>
        <v>10.6</v>
      </c>
      <c r="I105" s="874">
        <f>SUM(I104)</f>
        <v>10.663599999999999</v>
      </c>
      <c r="J105" s="874">
        <f>SUM(J104)</f>
        <v>10.727581599999999</v>
      </c>
      <c r="K105" s="139"/>
      <c r="L105" s="139"/>
      <c r="M105" s="139"/>
      <c r="N105" s="200"/>
    </row>
    <row r="106" spans="1:16" ht="21.75" customHeight="1" thickBot="1">
      <c r="A106" s="1487"/>
      <c r="B106" s="1487"/>
      <c r="C106" s="1124" t="s">
        <v>30</v>
      </c>
      <c r="D106" s="1125"/>
      <c r="E106" s="870"/>
      <c r="F106" s="870" t="s">
        <v>171</v>
      </c>
      <c r="G106" s="862" t="s">
        <v>121</v>
      </c>
      <c r="H106" s="611">
        <v>15</v>
      </c>
      <c r="I106" s="590">
        <f>H106*1.006</f>
        <v>15.09</v>
      </c>
      <c r="J106" s="590">
        <f>I106*1.006</f>
        <v>15.180540000000001</v>
      </c>
      <c r="K106" s="813" t="s">
        <v>388</v>
      </c>
      <c r="L106" s="871">
        <v>1</v>
      </c>
      <c r="M106" s="871">
        <v>1</v>
      </c>
      <c r="N106" s="872">
        <v>1</v>
      </c>
    </row>
    <row r="107" spans="1:16" ht="13.5" thickBot="1">
      <c r="A107" s="1487"/>
      <c r="B107" s="1585"/>
      <c r="C107" s="1153" t="s">
        <v>118</v>
      </c>
      <c r="D107" s="1421"/>
      <c r="E107" s="1421"/>
      <c r="F107" s="1421"/>
      <c r="G107" s="1422"/>
      <c r="H107" s="873">
        <f>SUM(H106)</f>
        <v>15</v>
      </c>
      <c r="I107" s="874">
        <f>SUM(I106)</f>
        <v>15.09</v>
      </c>
      <c r="J107" s="874">
        <f>SUM(J106)</f>
        <v>15.180540000000001</v>
      </c>
      <c r="K107" s="139"/>
      <c r="L107" s="139"/>
      <c r="M107" s="139"/>
      <c r="N107" s="200"/>
    </row>
    <row r="108" spans="1:16" s="16" customFormat="1" ht="13.5" thickBot="1">
      <c r="A108" s="1585"/>
      <c r="B108" s="1159" t="s">
        <v>119</v>
      </c>
      <c r="C108" s="1931"/>
      <c r="D108" s="1931"/>
      <c r="E108" s="1931"/>
      <c r="F108" s="1931"/>
      <c r="G108" s="1932"/>
      <c r="H108" s="897">
        <f>H107+H105</f>
        <v>25.6</v>
      </c>
      <c r="I108" s="906">
        <f>I107+I105</f>
        <v>25.753599999999999</v>
      </c>
      <c r="J108" s="906">
        <f>J107+J105</f>
        <v>25.908121600000001</v>
      </c>
      <c r="K108" s="139"/>
      <c r="L108" s="139"/>
      <c r="M108" s="139"/>
      <c r="N108" s="200"/>
    </row>
    <row r="109" spans="1:16" s="16" customFormat="1" ht="13.5" thickBot="1">
      <c r="A109" s="1297" t="s">
        <v>303</v>
      </c>
      <c r="B109" s="1886"/>
      <c r="C109" s="1886"/>
      <c r="D109" s="1886"/>
      <c r="E109" s="1886"/>
      <c r="F109" s="1886"/>
      <c r="G109" s="1887"/>
      <c r="H109" s="898">
        <f>H108+H103+H98</f>
        <v>148.30000000000001</v>
      </c>
      <c r="I109" s="926">
        <f>I108+I103+I98</f>
        <v>149.18979999999999</v>
      </c>
      <c r="J109" s="926">
        <f>J108+J103+J98</f>
        <v>150.0849388</v>
      </c>
      <c r="K109" s="196"/>
      <c r="L109" s="196"/>
      <c r="M109" s="196"/>
      <c r="N109" s="202"/>
    </row>
    <row r="110" spans="1:16" ht="23.25" thickBot="1">
      <c r="A110" s="1873" t="s">
        <v>31</v>
      </c>
      <c r="B110" s="1943" t="s">
        <v>32</v>
      </c>
      <c r="C110" s="1125" t="s">
        <v>514</v>
      </c>
      <c r="D110" s="1125"/>
      <c r="E110" s="870"/>
      <c r="F110" s="870" t="s">
        <v>171</v>
      </c>
      <c r="G110" s="862" t="s">
        <v>121</v>
      </c>
      <c r="H110" s="927">
        <v>5.4</v>
      </c>
      <c r="I110" s="611">
        <f>H110*1.006</f>
        <v>5.4324000000000003</v>
      </c>
      <c r="J110" s="611">
        <f>I110*1.006</f>
        <v>5.4649944000000001</v>
      </c>
      <c r="K110" s="812" t="s">
        <v>333</v>
      </c>
      <c r="L110" s="813">
        <v>67</v>
      </c>
      <c r="M110" s="813">
        <v>67</v>
      </c>
      <c r="N110" s="813">
        <v>67</v>
      </c>
    </row>
    <row r="111" spans="1:16" s="16" customFormat="1" ht="12" thickBot="1">
      <c r="A111" s="1873"/>
      <c r="B111" s="1943"/>
      <c r="C111" s="1617" t="s">
        <v>118</v>
      </c>
      <c r="D111" s="1888"/>
      <c r="E111" s="1888"/>
      <c r="F111" s="1888"/>
      <c r="G111" s="1888"/>
      <c r="H111" s="766">
        <f>SUM(H110)</f>
        <v>5.4</v>
      </c>
      <c r="I111" s="684">
        <f>SUM(I110)</f>
        <v>5.4324000000000003</v>
      </c>
      <c r="J111" s="684">
        <f>SUM(J110)</f>
        <v>5.4649944000000001</v>
      </c>
      <c r="K111" s="139"/>
      <c r="L111" s="139"/>
      <c r="M111" s="139"/>
      <c r="N111" s="200"/>
      <c r="P111" s="377"/>
    </row>
    <row r="112" spans="1:16" ht="23.25" thickBot="1">
      <c r="A112" s="1873"/>
      <c r="B112" s="1943"/>
      <c r="C112" s="1124" t="s">
        <v>515</v>
      </c>
      <c r="D112" s="1125"/>
      <c r="E112" s="870"/>
      <c r="F112" s="870" t="s">
        <v>171</v>
      </c>
      <c r="G112" s="862" t="s">
        <v>121</v>
      </c>
      <c r="H112" s="611">
        <v>2</v>
      </c>
      <c r="I112" s="611">
        <f>H112*1.006</f>
        <v>2.012</v>
      </c>
      <c r="J112" s="611">
        <f>I112*1.006</f>
        <v>2.0240719999999999</v>
      </c>
      <c r="K112" s="812" t="s">
        <v>334</v>
      </c>
      <c r="L112" s="912">
        <v>15</v>
      </c>
      <c r="M112" s="912">
        <v>10</v>
      </c>
      <c r="N112" s="913">
        <v>10</v>
      </c>
    </row>
    <row r="113" spans="1:14" ht="13.5" thickBot="1">
      <c r="A113" s="1873"/>
      <c r="B113" s="1943"/>
      <c r="C113" s="1617" t="s">
        <v>118</v>
      </c>
      <c r="D113" s="1888"/>
      <c r="E113" s="1888"/>
      <c r="F113" s="1888"/>
      <c r="G113" s="1945"/>
      <c r="H113" s="873">
        <f>SUM(H112)</f>
        <v>2</v>
      </c>
      <c r="I113" s="874">
        <f>SUM(I112)</f>
        <v>2.012</v>
      </c>
      <c r="J113" s="874">
        <f>SUM(J112)</f>
        <v>2.0240719999999999</v>
      </c>
      <c r="K113" s="139"/>
      <c r="L113" s="139"/>
      <c r="M113" s="139"/>
      <c r="N113" s="200"/>
    </row>
    <row r="114" spans="1:14" ht="23.25" thickBot="1">
      <c r="A114" s="1873"/>
      <c r="B114" s="1943"/>
      <c r="C114" s="1126" t="s">
        <v>516</v>
      </c>
      <c r="D114" s="1127"/>
      <c r="E114" s="919"/>
      <c r="F114" s="919" t="s">
        <v>171</v>
      </c>
      <c r="G114" s="1040" t="s">
        <v>121</v>
      </c>
      <c r="H114" s="672">
        <v>7</v>
      </c>
      <c r="I114" s="672">
        <f>H114*1.006</f>
        <v>7.0419999999999998</v>
      </c>
      <c r="J114" s="672">
        <f>I114*1.006</f>
        <v>7.0842520000000002</v>
      </c>
      <c r="K114" s="920" t="s">
        <v>260</v>
      </c>
      <c r="L114" s="921">
        <v>10</v>
      </c>
      <c r="M114" s="921">
        <v>10</v>
      </c>
      <c r="N114" s="922">
        <v>10</v>
      </c>
    </row>
    <row r="115" spans="1:14" ht="13.5" thickBot="1">
      <c r="A115" s="1873"/>
      <c r="B115" s="1944"/>
      <c r="C115" s="1402" t="s">
        <v>118</v>
      </c>
      <c r="D115" s="1942"/>
      <c r="E115" s="1942"/>
      <c r="F115" s="1942"/>
      <c r="G115" s="1942"/>
      <c r="H115" s="895">
        <f>SUM(H114)</f>
        <v>7</v>
      </c>
      <c r="I115" s="896">
        <f>SUM(I114)</f>
        <v>7.0419999999999998</v>
      </c>
      <c r="J115" s="896">
        <f>SUM(J114)</f>
        <v>7.0842520000000002</v>
      </c>
      <c r="K115" s="439"/>
      <c r="L115" s="439"/>
      <c r="M115" s="439"/>
      <c r="N115" s="440"/>
    </row>
    <row r="116" spans="1:14" ht="13.5" thickBot="1">
      <c r="A116" s="1873"/>
      <c r="B116" s="1617" t="s">
        <v>119</v>
      </c>
      <c r="C116" s="1888"/>
      <c r="D116" s="1888"/>
      <c r="E116" s="1888"/>
      <c r="F116" s="1888"/>
      <c r="G116" s="1888"/>
      <c r="H116" s="923">
        <f>H115+H113+H111</f>
        <v>14.4</v>
      </c>
      <c r="I116" s="924">
        <f>I115+I113+I111</f>
        <v>14.4864</v>
      </c>
      <c r="J116" s="924">
        <f>J115+J113+J111</f>
        <v>14.5733184</v>
      </c>
      <c r="K116" s="318"/>
      <c r="L116" s="318"/>
      <c r="M116" s="318"/>
      <c r="N116" s="222"/>
    </row>
    <row r="117" spans="1:14" ht="13.5" thickBot="1">
      <c r="A117" s="1297" t="s">
        <v>303</v>
      </c>
      <c r="B117" s="1886"/>
      <c r="C117" s="1886"/>
      <c r="D117" s="1886"/>
      <c r="E117" s="1886"/>
      <c r="F117" s="1886"/>
      <c r="G117" s="1886"/>
      <c r="H117" s="925">
        <f>H116</f>
        <v>14.4</v>
      </c>
      <c r="I117" s="898">
        <f>I116</f>
        <v>14.4864</v>
      </c>
      <c r="J117" s="898">
        <f>J116</f>
        <v>14.5733184</v>
      </c>
      <c r="K117" s="196"/>
      <c r="L117" s="196"/>
      <c r="M117" s="196"/>
      <c r="N117" s="202"/>
    </row>
    <row r="118" spans="1:14" ht="57.75" customHeight="1" thickBot="1">
      <c r="A118" s="1873" t="s">
        <v>522</v>
      </c>
      <c r="B118" s="1873" t="s">
        <v>523</v>
      </c>
      <c r="C118" s="1174" t="s">
        <v>67</v>
      </c>
      <c r="D118" s="1174"/>
      <c r="E118" s="1175"/>
      <c r="F118" s="914" t="s">
        <v>171</v>
      </c>
      <c r="G118" s="836" t="s">
        <v>121</v>
      </c>
      <c r="H118" s="607">
        <f>109+20.1</f>
        <v>129.1</v>
      </c>
      <c r="I118" s="607">
        <f>H118*1.006</f>
        <v>129.87459999999999</v>
      </c>
      <c r="J118" s="607">
        <f>I118*1.006</f>
        <v>130.65384759999998</v>
      </c>
      <c r="K118" s="915" t="s">
        <v>517</v>
      </c>
      <c r="L118" s="731">
        <v>100</v>
      </c>
      <c r="M118" s="731">
        <v>100</v>
      </c>
      <c r="N118" s="779">
        <v>100</v>
      </c>
    </row>
    <row r="119" spans="1:14" ht="13.5" thickBot="1">
      <c r="A119" s="1873"/>
      <c r="B119" s="1873"/>
      <c r="C119" s="1159" t="s">
        <v>118</v>
      </c>
      <c r="D119" s="1424"/>
      <c r="E119" s="1424"/>
      <c r="F119" s="1424"/>
      <c r="G119" s="1425"/>
      <c r="H119" s="895">
        <f>SUM(H118:H118)</f>
        <v>129.1</v>
      </c>
      <c r="I119" s="896">
        <f>SUM(I118:I118)</f>
        <v>129.87459999999999</v>
      </c>
      <c r="J119" s="896">
        <f>SUM(J118:J118)</f>
        <v>130.65384759999998</v>
      </c>
      <c r="K119" s="379"/>
      <c r="L119" s="379"/>
      <c r="M119" s="379"/>
      <c r="N119" s="200"/>
    </row>
    <row r="120" spans="1:14" ht="13.5" thickBot="1">
      <c r="A120" s="1873"/>
      <c r="B120" s="1159" t="s">
        <v>119</v>
      </c>
      <c r="C120" s="1424"/>
      <c r="D120" s="1424"/>
      <c r="E120" s="1424"/>
      <c r="F120" s="1424"/>
      <c r="G120" s="1424"/>
      <c r="H120" s="897">
        <f t="shared" ref="H120:J121" si="0">H119</f>
        <v>129.1</v>
      </c>
      <c r="I120" s="906">
        <f t="shared" si="0"/>
        <v>129.87459999999999</v>
      </c>
      <c r="J120" s="906">
        <f t="shared" si="0"/>
        <v>130.65384759999998</v>
      </c>
      <c r="K120" s="241"/>
      <c r="L120" s="393"/>
      <c r="M120" s="394"/>
      <c r="N120" s="395"/>
    </row>
    <row r="121" spans="1:14" ht="13.5" thickBot="1">
      <c r="A121" s="1297" t="s">
        <v>303</v>
      </c>
      <c r="B121" s="1886"/>
      <c r="C121" s="1886"/>
      <c r="D121" s="1886"/>
      <c r="E121" s="1886"/>
      <c r="F121" s="1886"/>
      <c r="G121" s="1887"/>
      <c r="H121" s="766">
        <f t="shared" si="0"/>
        <v>129.1</v>
      </c>
      <c r="I121" s="767">
        <f t="shared" si="0"/>
        <v>129.87459999999999</v>
      </c>
      <c r="J121" s="767">
        <f t="shared" si="0"/>
        <v>130.65384759999998</v>
      </c>
      <c r="K121" s="139"/>
      <c r="L121" s="139"/>
      <c r="M121" s="139"/>
      <c r="N121" s="200"/>
    </row>
    <row r="122" spans="1:14" ht="21" customHeight="1">
      <c r="A122" s="1171" t="s">
        <v>33</v>
      </c>
      <c r="B122" s="1171" t="s">
        <v>34</v>
      </c>
      <c r="C122" s="1924" t="s">
        <v>518</v>
      </c>
      <c r="D122" s="1310"/>
      <c r="E122" s="1310"/>
      <c r="F122" s="1719" t="s">
        <v>171</v>
      </c>
      <c r="G122" s="832" t="s">
        <v>121</v>
      </c>
      <c r="H122" s="840">
        <v>70</v>
      </c>
      <c r="I122" s="859">
        <v>100</v>
      </c>
      <c r="J122" s="607">
        <v>70</v>
      </c>
      <c r="K122" s="1655" t="s">
        <v>519</v>
      </c>
      <c r="L122" s="1936">
        <v>6</v>
      </c>
      <c r="M122" s="1936">
        <v>6</v>
      </c>
      <c r="N122" s="1937">
        <v>6</v>
      </c>
    </row>
    <row r="123" spans="1:14" s="223" customFormat="1" ht="25.5" customHeight="1" thickBot="1">
      <c r="A123" s="1487"/>
      <c r="B123" s="1487"/>
      <c r="C123" s="1188"/>
      <c r="D123" s="1169"/>
      <c r="E123" s="1169"/>
      <c r="F123" s="1181"/>
      <c r="G123" s="771" t="s">
        <v>143</v>
      </c>
      <c r="H123" s="1128">
        <v>150</v>
      </c>
      <c r="I123" s="1092">
        <v>180</v>
      </c>
      <c r="J123" s="606">
        <v>150</v>
      </c>
      <c r="K123" s="1558"/>
      <c r="L123" s="1202"/>
      <c r="M123" s="1202"/>
      <c r="N123" s="1661"/>
    </row>
    <row r="124" spans="1:14" ht="13.5" thickBot="1">
      <c r="A124" s="1487"/>
      <c r="B124" s="1487"/>
      <c r="C124" s="1185" t="s">
        <v>118</v>
      </c>
      <c r="D124" s="1421"/>
      <c r="E124" s="1421"/>
      <c r="F124" s="1421"/>
      <c r="G124" s="1421"/>
      <c r="H124" s="766">
        <f>H122+H123</f>
        <v>220</v>
      </c>
      <c r="I124" s="767">
        <f>I122+I123</f>
        <v>280</v>
      </c>
      <c r="J124" s="767">
        <f>J122+J123</f>
        <v>220</v>
      </c>
      <c r="K124" s="241"/>
      <c r="L124" s="139"/>
      <c r="M124" s="139"/>
      <c r="N124" s="200"/>
    </row>
    <row r="125" spans="1:14" ht="24.75" customHeight="1">
      <c r="A125" s="1487"/>
      <c r="B125" s="1875"/>
      <c r="C125" s="1712" t="s">
        <v>526</v>
      </c>
      <c r="D125" s="1363"/>
      <c r="E125" s="1363"/>
      <c r="F125" s="1719" t="s">
        <v>171</v>
      </c>
      <c r="G125" s="1149" t="s">
        <v>121</v>
      </c>
      <c r="H125" s="1151">
        <f>5.1+30+10.5</f>
        <v>45.6</v>
      </c>
      <c r="I125" s="1151">
        <f>H125*1.006</f>
        <v>45.873600000000003</v>
      </c>
      <c r="J125" s="1151">
        <f>I125*1.006</f>
        <v>46.148841600000004</v>
      </c>
      <c r="K125" s="595" t="s">
        <v>520</v>
      </c>
      <c r="L125" s="804">
        <v>1</v>
      </c>
      <c r="M125" s="804">
        <v>1</v>
      </c>
      <c r="N125" s="805">
        <v>1</v>
      </c>
    </row>
    <row r="126" spans="1:14" s="319" customFormat="1" ht="24.75" customHeight="1" thickBot="1">
      <c r="A126" s="1487"/>
      <c r="B126" s="1875"/>
      <c r="C126" s="1364"/>
      <c r="D126" s="1365"/>
      <c r="E126" s="1365"/>
      <c r="F126" s="1183"/>
      <c r="G126" s="1362"/>
      <c r="H126" s="1938"/>
      <c r="I126" s="1938"/>
      <c r="J126" s="1939"/>
      <c r="K126" s="944" t="s">
        <v>521</v>
      </c>
      <c r="L126" s="945">
        <v>6</v>
      </c>
      <c r="M126" s="945">
        <v>5</v>
      </c>
      <c r="N126" s="946">
        <v>5</v>
      </c>
    </row>
    <row r="127" spans="1:14" ht="13.5" thickBot="1">
      <c r="A127" s="1487"/>
      <c r="B127" s="1585"/>
      <c r="C127" s="1234" t="s">
        <v>118</v>
      </c>
      <c r="D127" s="1784"/>
      <c r="E127" s="1784"/>
      <c r="F127" s="1784"/>
      <c r="G127" s="1913"/>
      <c r="H127" s="940">
        <f>SUM(H125)</f>
        <v>45.6</v>
      </c>
      <c r="I127" s="943">
        <f>SUM(I125)</f>
        <v>45.873600000000003</v>
      </c>
      <c r="J127" s="943">
        <f>SUM(J125)</f>
        <v>46.148841600000004</v>
      </c>
      <c r="K127" s="224"/>
      <c r="L127" s="224"/>
      <c r="M127" s="224"/>
      <c r="N127" s="225"/>
    </row>
    <row r="128" spans="1:14" ht="13.5" thickBot="1">
      <c r="A128" s="1585"/>
      <c r="B128" s="1153" t="s">
        <v>119</v>
      </c>
      <c r="C128" s="1421"/>
      <c r="D128" s="1421"/>
      <c r="E128" s="1421"/>
      <c r="F128" s="1421"/>
      <c r="G128" s="1422"/>
      <c r="H128" s="897">
        <f>H127+H124</f>
        <v>265.60000000000002</v>
      </c>
      <c r="I128" s="906">
        <f>I127+I124</f>
        <v>325.87360000000001</v>
      </c>
      <c r="J128" s="906">
        <f>J127+J124</f>
        <v>266.14884160000003</v>
      </c>
      <c r="K128" s="241"/>
      <c r="L128" s="305"/>
      <c r="M128" s="305"/>
      <c r="N128" s="306"/>
    </row>
    <row r="129" spans="1:14" s="319" customFormat="1" ht="24.75" customHeight="1" thickBot="1">
      <c r="A129" s="1872" t="s">
        <v>524</v>
      </c>
      <c r="B129" s="1184" t="s">
        <v>525</v>
      </c>
      <c r="C129" s="1309" t="s">
        <v>530</v>
      </c>
      <c r="D129" s="1310"/>
      <c r="E129" s="1310"/>
      <c r="F129" s="869" t="s">
        <v>171</v>
      </c>
      <c r="G129" s="832" t="s">
        <v>121</v>
      </c>
      <c r="H129" s="854">
        <v>15</v>
      </c>
      <c r="I129" s="854">
        <f>H129*1.006</f>
        <v>15.09</v>
      </c>
      <c r="J129" s="603">
        <f>I129*1.006</f>
        <v>15.180540000000001</v>
      </c>
      <c r="K129" s="812" t="s">
        <v>418</v>
      </c>
      <c r="L129" s="813">
        <v>8</v>
      </c>
      <c r="M129" s="813">
        <v>8</v>
      </c>
      <c r="N129" s="814">
        <v>8</v>
      </c>
    </row>
    <row r="130" spans="1:14" s="319" customFormat="1" ht="13.5" thickBot="1">
      <c r="A130" s="1873"/>
      <c r="B130" s="1487"/>
      <c r="C130" s="1185" t="s">
        <v>118</v>
      </c>
      <c r="D130" s="1421"/>
      <c r="E130" s="1421"/>
      <c r="F130" s="1421"/>
      <c r="G130" s="1422"/>
      <c r="H130" s="873">
        <f>SUM(H129)</f>
        <v>15</v>
      </c>
      <c r="I130" s="874">
        <f>SUM(I129)</f>
        <v>15.09</v>
      </c>
      <c r="J130" s="874">
        <f>SUM(J129)</f>
        <v>15.180540000000001</v>
      </c>
      <c r="K130" s="135"/>
      <c r="L130" s="135"/>
      <c r="M130" s="135"/>
      <c r="N130" s="204"/>
    </row>
    <row r="131" spans="1:14" s="319" customFormat="1" ht="39.75" customHeight="1" thickBot="1">
      <c r="A131" s="1873"/>
      <c r="B131" s="1487"/>
      <c r="C131" s="1309" t="s">
        <v>527</v>
      </c>
      <c r="D131" s="1310"/>
      <c r="E131" s="1310"/>
      <c r="F131" s="869" t="s">
        <v>171</v>
      </c>
      <c r="G131" s="832" t="s">
        <v>120</v>
      </c>
      <c r="H131" s="854">
        <v>38</v>
      </c>
      <c r="I131" s="854">
        <v>38</v>
      </c>
      <c r="J131" s="603">
        <v>0</v>
      </c>
      <c r="K131" s="812" t="s">
        <v>443</v>
      </c>
      <c r="L131" s="813">
        <v>12</v>
      </c>
      <c r="M131" s="813">
        <v>12</v>
      </c>
      <c r="N131" s="814"/>
    </row>
    <row r="132" spans="1:14" s="319" customFormat="1" ht="13.5" thickBot="1">
      <c r="A132" s="1873"/>
      <c r="B132" s="1487"/>
      <c r="C132" s="1185" t="s">
        <v>118</v>
      </c>
      <c r="D132" s="1421"/>
      <c r="E132" s="1421"/>
      <c r="F132" s="1421"/>
      <c r="G132" s="1422"/>
      <c r="H132" s="873">
        <f>H131</f>
        <v>38</v>
      </c>
      <c r="I132" s="874">
        <f>I131</f>
        <v>38</v>
      </c>
      <c r="J132" s="874">
        <f>J131</f>
        <v>0</v>
      </c>
      <c r="K132" s="135"/>
      <c r="L132" s="135"/>
      <c r="M132" s="135"/>
      <c r="N132" s="204"/>
    </row>
    <row r="133" spans="1:14" s="319" customFormat="1" ht="29.25" customHeight="1">
      <c r="A133" s="1873"/>
      <c r="B133" s="1487"/>
      <c r="C133" s="1922" t="s">
        <v>832</v>
      </c>
      <c r="D133" s="1289"/>
      <c r="E133" s="1290"/>
      <c r="F133" s="952" t="s">
        <v>171</v>
      </c>
      <c r="G133" s="842" t="s">
        <v>143</v>
      </c>
      <c r="H133" s="838">
        <v>749</v>
      </c>
      <c r="I133" s="838">
        <v>182</v>
      </c>
      <c r="J133" s="570">
        <v>44</v>
      </c>
      <c r="K133" s="595" t="s">
        <v>528</v>
      </c>
      <c r="L133" s="594">
        <v>2</v>
      </c>
      <c r="M133" s="953">
        <v>5</v>
      </c>
      <c r="N133" s="954">
        <v>5</v>
      </c>
    </row>
    <row r="134" spans="1:14" s="319" customFormat="1" ht="29.25" customHeight="1" thickBot="1">
      <c r="A134" s="1873"/>
      <c r="B134" s="1487"/>
      <c r="C134" s="1294"/>
      <c r="D134" s="1295"/>
      <c r="E134" s="1296"/>
      <c r="F134" s="955" t="s">
        <v>171</v>
      </c>
      <c r="G134" s="498" t="s">
        <v>121</v>
      </c>
      <c r="H134" s="511">
        <f>2.8+20</f>
        <v>22.8</v>
      </c>
      <c r="I134" s="511">
        <f>H134*1.006</f>
        <v>22.936800000000002</v>
      </c>
      <c r="J134" s="511">
        <f>I134*1.006</f>
        <v>23.074420800000002</v>
      </c>
      <c r="K134" s="956" t="s">
        <v>529</v>
      </c>
      <c r="L134" s="658">
        <v>2</v>
      </c>
      <c r="M134" s="957">
        <v>4</v>
      </c>
      <c r="N134" s="958">
        <v>2</v>
      </c>
    </row>
    <row r="135" spans="1:14" s="319" customFormat="1" ht="13.5" thickBot="1">
      <c r="A135" s="1873"/>
      <c r="B135" s="1585"/>
      <c r="C135" s="1234" t="s">
        <v>118</v>
      </c>
      <c r="D135" s="1784"/>
      <c r="E135" s="1784"/>
      <c r="F135" s="1784"/>
      <c r="G135" s="1784"/>
      <c r="H135" s="755">
        <f>SUM(H133:H134)</f>
        <v>771.8</v>
      </c>
      <c r="I135" s="756">
        <f>SUM(I133:I134)</f>
        <v>204.93680000000001</v>
      </c>
      <c r="J135" s="756">
        <f>SUM(J133:J134)</f>
        <v>67.074420799999999</v>
      </c>
      <c r="K135" s="439"/>
      <c r="L135" s="439"/>
      <c r="M135" s="439"/>
      <c r="N135" s="440"/>
    </row>
    <row r="136" spans="1:14" s="319" customFormat="1" ht="13.5" thickBot="1">
      <c r="A136" s="1923"/>
      <c r="B136" s="1159" t="s">
        <v>119</v>
      </c>
      <c r="C136" s="1424"/>
      <c r="D136" s="1424"/>
      <c r="E136" s="1424"/>
      <c r="F136" s="1424"/>
      <c r="G136" s="1424"/>
      <c r="H136" s="897">
        <f>H130+H132+H135</f>
        <v>824.8</v>
      </c>
      <c r="I136" s="906">
        <f t="shared" ref="I136:J136" si="1">I130+I132+I135</f>
        <v>258.02679999999998</v>
      </c>
      <c r="J136" s="906">
        <f t="shared" si="1"/>
        <v>82.254960799999992</v>
      </c>
      <c r="K136" s="437"/>
      <c r="L136" s="437"/>
      <c r="M136" s="437"/>
      <c r="N136" s="438"/>
    </row>
    <row r="137" spans="1:14" ht="13.5" thickBot="1">
      <c r="A137" s="1297" t="s">
        <v>303</v>
      </c>
      <c r="B137" s="1886"/>
      <c r="C137" s="1886"/>
      <c r="D137" s="1886"/>
      <c r="E137" s="1886"/>
      <c r="F137" s="1886"/>
      <c r="G137" s="1887"/>
      <c r="H137" s="898">
        <f>H136+H128</f>
        <v>1090.4000000000001</v>
      </c>
      <c r="I137" s="926">
        <f>I136+I128</f>
        <v>583.90039999999999</v>
      </c>
      <c r="J137" s="926">
        <f>J136+J128</f>
        <v>348.40380240000002</v>
      </c>
      <c r="K137" s="224"/>
      <c r="L137" s="224"/>
      <c r="M137" s="224"/>
      <c r="N137" s="225"/>
    </row>
    <row r="138" spans="1:14" s="10" customFormat="1" ht="13.5" thickBot="1">
      <c r="A138" s="1394" t="s">
        <v>17</v>
      </c>
      <c r="B138" s="1920"/>
      <c r="C138" s="1920"/>
      <c r="D138" s="1920"/>
      <c r="E138" s="1920"/>
      <c r="F138" s="1920"/>
      <c r="G138" s="1921"/>
      <c r="H138" s="959">
        <f>H37+H85+H109+H117+H121+H137</f>
        <v>4703.1000000000004</v>
      </c>
      <c r="I138" s="960">
        <f>I37+I85+I109+I117+I121+I137</f>
        <v>4228.5430000000006</v>
      </c>
      <c r="J138" s="960">
        <f>J37+J85+J109+J117+J121+J137</f>
        <v>3893.9134580000009</v>
      </c>
      <c r="K138" s="79"/>
      <c r="L138" s="79"/>
      <c r="M138" s="79"/>
      <c r="N138" s="84"/>
    </row>
    <row r="139" spans="1:14" s="10" customFormat="1" ht="10.5" customHeight="1">
      <c r="A139" s="86"/>
      <c r="B139" s="104"/>
      <c r="C139" s="104"/>
      <c r="D139" s="1130"/>
      <c r="E139" s="32"/>
      <c r="F139" s="32" t="s">
        <v>11</v>
      </c>
      <c r="G139" s="32"/>
      <c r="H139" s="32"/>
      <c r="I139" s="56"/>
      <c r="J139" s="56"/>
      <c r="K139" s="56"/>
      <c r="L139" s="56"/>
      <c r="M139" s="56"/>
      <c r="N139" s="56"/>
    </row>
    <row r="140" spans="1:14" ht="10.5" customHeight="1">
      <c r="A140" s="36"/>
      <c r="B140" s="29"/>
      <c r="C140" s="87"/>
      <c r="D140" s="40"/>
      <c r="E140" s="41"/>
      <c r="F140" s="41"/>
      <c r="G140" s="81" t="s">
        <v>124</v>
      </c>
      <c r="H140" s="450">
        <f>SUMIF($G$8:$G$137,"SB",H$8:H$137)</f>
        <v>3259.4</v>
      </c>
      <c r="I140" s="318">
        <f>SUMIF($G$8:$G$137,"SB",I$8:I$137)</f>
        <v>3318.4463999999998</v>
      </c>
      <c r="J140" s="318">
        <f>SUMIF($G$8:$G$137,"SB",J$8:J$137)</f>
        <v>3289.7070784000002</v>
      </c>
      <c r="K140" s="318"/>
      <c r="L140" s="318"/>
      <c r="M140" s="318"/>
      <c r="N140" s="318"/>
    </row>
    <row r="141" spans="1:14" ht="10.5" customHeight="1">
      <c r="A141" s="36"/>
      <c r="B141" s="127"/>
      <c r="C141" s="55"/>
      <c r="D141" s="40"/>
      <c r="E141" s="41"/>
      <c r="F141" s="41"/>
      <c r="G141" s="81" t="s">
        <v>125</v>
      </c>
      <c r="H141" s="450">
        <f>SUMIF($G$8:$G$137,"VB-STD",H$8:H$137)</f>
        <v>293.19999999999993</v>
      </c>
      <c r="I141" s="318">
        <f>SUMIF($G$8:$G$137,"VB-STD",I$8:I$137)</f>
        <v>239.02559999999997</v>
      </c>
      <c r="J141" s="318">
        <f>SUMIF($G$8:$G$137,"VB-STD",J$8:J$137)</f>
        <v>240.45975359999997</v>
      </c>
      <c r="K141" s="195"/>
      <c r="L141" s="195"/>
      <c r="M141" s="195"/>
      <c r="N141" s="195"/>
    </row>
    <row r="142" spans="1:14" ht="10.5" customHeight="1">
      <c r="A142" s="36"/>
      <c r="B142" s="127"/>
      <c r="C142" s="55"/>
      <c r="D142" s="18"/>
      <c r="E142" s="19"/>
      <c r="F142" s="19"/>
      <c r="G142" s="81" t="s">
        <v>126</v>
      </c>
      <c r="H142" s="450">
        <f>SUMIF($G$8:$G$137,"ES",H$8:H$137)</f>
        <v>984</v>
      </c>
      <c r="I142" s="318">
        <f>SUMIF($G$8:$G$137,"ES",I$8:I$137)</f>
        <v>503.8</v>
      </c>
      <c r="J142" s="318">
        <f>SUMIF($G$8:$G$137,"ES",J$8:J$137)</f>
        <v>233.7</v>
      </c>
      <c r="K142" s="195"/>
      <c r="L142" s="195"/>
      <c r="M142" s="195"/>
      <c r="N142" s="195"/>
    </row>
    <row r="143" spans="1:14" ht="10.5" customHeight="1">
      <c r="A143" s="36"/>
      <c r="B143" s="127"/>
      <c r="C143" s="55"/>
      <c r="D143" s="18"/>
      <c r="E143" s="19"/>
      <c r="F143" s="19"/>
      <c r="G143" s="81" t="s">
        <v>127</v>
      </c>
      <c r="H143" s="450">
        <f>SUMIF($G$8:$G$137,"SAARS",H$8:H$137)</f>
        <v>0</v>
      </c>
      <c r="I143" s="318">
        <f>SUMIF($G$8:$G$137,"SAARS",I$8:I$137)</f>
        <v>0</v>
      </c>
      <c r="J143" s="318">
        <f>SUMIF($G$8:$G$137,"SAARS",J$8:J$137)</f>
        <v>0</v>
      </c>
      <c r="K143" s="195"/>
      <c r="L143" s="195"/>
      <c r="M143" s="195"/>
      <c r="N143" s="195"/>
    </row>
    <row r="144" spans="1:14" ht="10.5" customHeight="1">
      <c r="A144" s="36"/>
      <c r="B144" s="127"/>
      <c r="C144" s="55"/>
      <c r="D144" s="18"/>
      <c r="E144" s="19"/>
      <c r="F144" s="19"/>
      <c r="G144" s="81" t="s">
        <v>128</v>
      </c>
      <c r="H144" s="450">
        <f>SUMIF($G$8:$G$137,"KPPP",H$8:H$137)</f>
        <v>0</v>
      </c>
      <c r="I144" s="318">
        <f>SUMIF($G$8:$G$137,"KPPP",I$8:I$137)</f>
        <v>0</v>
      </c>
      <c r="J144" s="318">
        <f>SUMIF($G$8:$G$137,"KPPP",J$8:J$137)</f>
        <v>0</v>
      </c>
      <c r="K144" s="195"/>
      <c r="L144" s="195"/>
      <c r="M144" s="195"/>
      <c r="N144" s="195"/>
    </row>
    <row r="145" spans="1:15" ht="10.5" customHeight="1">
      <c r="A145" s="36"/>
      <c r="B145" s="127"/>
      <c r="C145" s="55"/>
      <c r="D145" s="18"/>
      <c r="E145" s="19"/>
      <c r="F145" s="19"/>
      <c r="G145" s="82" t="s">
        <v>129</v>
      </c>
      <c r="H145" s="450">
        <f>SUMIF($G$8:$G$137,"UF",H$8:H$137)</f>
        <v>0</v>
      </c>
      <c r="I145" s="318">
        <f>SUMIF($G$8:$G$137,"UF",I$8:I$137)</f>
        <v>0</v>
      </c>
      <c r="J145" s="318">
        <f>SUMIF($G$8:$G$137,"UF",J$8:J$137)</f>
        <v>0</v>
      </c>
      <c r="K145" s="195"/>
      <c r="L145" s="195"/>
      <c r="M145" s="195"/>
      <c r="N145" s="195"/>
    </row>
    <row r="146" spans="1:15" ht="10.5" customHeight="1">
      <c r="A146" s="36"/>
      <c r="B146" s="127"/>
      <c r="C146" s="55"/>
      <c r="D146" s="18"/>
      <c r="E146" s="19"/>
      <c r="F146" s="19"/>
      <c r="G146" s="81" t="s">
        <v>130</v>
      </c>
      <c r="H146" s="450">
        <f>SUMIF($G$8:$G$137,"VB",H$8:H$137)</f>
        <v>38</v>
      </c>
      <c r="I146" s="318">
        <f>SUMIF($G$8:$G$137,"VB",I$8:I$137)</f>
        <v>38</v>
      </c>
      <c r="J146" s="318">
        <f>SUMIF($G$8:$G$137,"VB",J$8:J$137)</f>
        <v>0</v>
      </c>
      <c r="K146" s="195"/>
      <c r="L146" s="195"/>
      <c r="M146" s="195"/>
      <c r="N146" s="195"/>
    </row>
    <row r="147" spans="1:15" ht="10.5" customHeight="1">
      <c r="A147" s="36"/>
      <c r="B147" s="127"/>
      <c r="C147" s="55"/>
      <c r="D147" s="18"/>
      <c r="E147" s="19"/>
      <c r="F147" s="19"/>
      <c r="G147" s="81" t="s">
        <v>131</v>
      </c>
      <c r="H147" s="450">
        <f>SUMIF($G$8:$G$137,"SL",H$8:H$137)</f>
        <v>0</v>
      </c>
      <c r="I147" s="318">
        <f>SUMIF($G$8:$G$137,"SL",I$8:I$137)</f>
        <v>0</v>
      </c>
      <c r="J147" s="318">
        <f>SUMIF($G$8:$G$137,"SL",J$8:J$137)</f>
        <v>0</v>
      </c>
      <c r="K147" s="195"/>
      <c r="L147" s="195"/>
      <c r="M147" s="195"/>
      <c r="N147" s="195"/>
    </row>
    <row r="148" spans="1:15" ht="10.5" customHeight="1">
      <c r="A148" s="77"/>
      <c r="B148" s="30"/>
      <c r="C148" s="76"/>
      <c r="D148" s="18"/>
      <c r="E148" s="19"/>
      <c r="F148" s="19"/>
      <c r="G148" s="81" t="s">
        <v>132</v>
      </c>
      <c r="H148" s="450">
        <f>SUMIF($G$8:$G$137,"PL",H$8:H$137)</f>
        <v>0</v>
      </c>
      <c r="I148" s="318">
        <f>SUMIF($G$8:$G$137,"PL",I$8:I$137)</f>
        <v>0</v>
      </c>
      <c r="J148" s="318">
        <f>SUMIF($G$8:$G$137,"PL",J$8:J$137)</f>
        <v>0</v>
      </c>
      <c r="K148" s="195"/>
      <c r="L148" s="195"/>
      <c r="M148" s="195"/>
      <c r="N148" s="195"/>
    </row>
    <row r="149" spans="1:15" ht="10.5" customHeight="1">
      <c r="A149" s="77"/>
      <c r="B149" s="30"/>
      <c r="C149" s="76"/>
      <c r="D149" s="40"/>
      <c r="E149" s="41"/>
      <c r="F149" s="41"/>
      <c r="G149" s="81" t="s">
        <v>133</v>
      </c>
      <c r="H149" s="450">
        <f>SUMIF($G$8:$G$137,"KL",H$8:H$137)</f>
        <v>0</v>
      </c>
      <c r="I149" s="318">
        <f>SUMIF($G$8:$G$137,"KL",I$8:I$137)</f>
        <v>0</v>
      </c>
      <c r="J149" s="318">
        <f>SUMIF($G$8:$G$137,"KL",J$8:J$137)</f>
        <v>0</v>
      </c>
      <c r="K149" s="318"/>
      <c r="L149" s="318"/>
      <c r="M149" s="318"/>
      <c r="N149" s="318"/>
    </row>
    <row r="150" spans="1:15" ht="13.5" customHeight="1">
      <c r="A150" s="36"/>
      <c r="B150" s="1132"/>
      <c r="C150" s="1133"/>
      <c r="D150" s="40"/>
      <c r="E150" s="41"/>
      <c r="F150" s="41"/>
      <c r="G150" s="81" t="s">
        <v>134</v>
      </c>
      <c r="H150" s="450">
        <f>SUMIF($G$8:$G$137,"TPP",H$8:H$137)</f>
        <v>128.5</v>
      </c>
      <c r="I150" s="318">
        <f>SUMIF($G$8:$G$137,"TPP",I$8:I$137)</f>
        <v>129.27099999999999</v>
      </c>
      <c r="J150" s="318">
        <f>SUMIF($G$8:$G$137,"TPP",J$8:J$137)</f>
        <v>130.04662599999997</v>
      </c>
      <c r="K150" s="195"/>
      <c r="L150" s="195"/>
      <c r="M150" s="195"/>
      <c r="N150" s="195"/>
    </row>
    <row r="151" spans="1:15" s="10" customFormat="1" ht="10.5" customHeight="1">
      <c r="A151" s="116"/>
      <c r="B151" s="13"/>
      <c r="C151" s="13"/>
      <c r="D151" s="13"/>
      <c r="E151" s="13"/>
      <c r="F151" s="13"/>
      <c r="G151" s="83" t="s">
        <v>17</v>
      </c>
      <c r="H151" s="1134">
        <f>SUM(H140:H150)</f>
        <v>4703.1000000000004</v>
      </c>
      <c r="I151" s="1134">
        <f>SUM(I140:I150)</f>
        <v>4228.5429999999997</v>
      </c>
      <c r="J151" s="1134">
        <f>SUM(J140:J150)</f>
        <v>3893.913458</v>
      </c>
      <c r="K151" s="117"/>
      <c r="L151" s="117"/>
      <c r="M151" s="1129"/>
      <c r="N151" s="1129"/>
      <c r="O151" s="1130"/>
    </row>
    <row r="152" spans="1:15" s="10" customFormat="1">
      <c r="A152" s="116"/>
      <c r="B152" s="43"/>
      <c r="C152" s="43"/>
      <c r="D152" s="43"/>
      <c r="E152" s="43"/>
      <c r="F152" s="43"/>
      <c r="G152" s="13"/>
      <c r="H152" s="120"/>
      <c r="I152" s="120"/>
      <c r="J152" s="120"/>
      <c r="M152" s="1131"/>
      <c r="N152" s="1130"/>
      <c r="O152" s="1130"/>
    </row>
    <row r="153" spans="1:15" s="10" customFormat="1">
      <c r="A153" s="121"/>
      <c r="B153" s="43"/>
      <c r="C153" s="43"/>
      <c r="D153" s="43"/>
      <c r="E153" s="43"/>
      <c r="F153" s="43"/>
      <c r="G153" s="13"/>
      <c r="H153" s="13"/>
      <c r="M153" s="1130"/>
      <c r="N153" s="1130"/>
      <c r="O153" s="1130"/>
    </row>
    <row r="154" spans="1:15" s="10" customFormat="1">
      <c r="A154" s="121"/>
      <c r="B154" s="43"/>
      <c r="C154" s="43"/>
      <c r="D154" s="43"/>
      <c r="E154" s="43"/>
      <c r="F154" s="43"/>
      <c r="G154" s="13"/>
      <c r="H154" s="13"/>
    </row>
    <row r="155" spans="1:15" s="10" customFormat="1">
      <c r="A155" s="121"/>
      <c r="B155" s="43"/>
      <c r="C155" s="43"/>
      <c r="D155" s="43"/>
      <c r="E155" s="43"/>
      <c r="F155" s="43"/>
      <c r="G155" s="13"/>
      <c r="H155" s="13"/>
    </row>
    <row r="156" spans="1:15" s="10" customFormat="1">
      <c r="A156" s="121"/>
      <c r="B156" s="43"/>
      <c r="C156" s="43"/>
      <c r="D156" s="43"/>
      <c r="E156" s="43"/>
      <c r="F156" s="43"/>
      <c r="G156" s="13"/>
      <c r="H156" s="13"/>
    </row>
    <row r="157" spans="1:15" s="10" customFormat="1">
      <c r="A157" s="121"/>
      <c r="B157" s="43"/>
      <c r="C157" s="43"/>
      <c r="D157" s="43"/>
      <c r="E157" s="43"/>
      <c r="F157" s="43"/>
      <c r="G157" s="13"/>
      <c r="H157" s="13"/>
    </row>
    <row r="158" spans="1:15" s="10" customFormat="1">
      <c r="A158" s="121"/>
      <c r="B158" s="43"/>
      <c r="C158" s="43"/>
      <c r="D158" s="43"/>
      <c r="E158" s="43"/>
      <c r="F158" s="43"/>
      <c r="G158" s="13"/>
      <c r="H158" s="13"/>
    </row>
    <row r="159" spans="1:15" s="10" customFormat="1">
      <c r="A159" s="121"/>
      <c r="B159" s="43"/>
      <c r="C159" s="43"/>
      <c r="D159" s="43"/>
      <c r="E159" s="43"/>
      <c r="F159" s="43"/>
      <c r="G159" s="13"/>
      <c r="H159" s="13"/>
    </row>
    <row r="160" spans="1:15" s="10" customFormat="1">
      <c r="A160" s="121"/>
      <c r="B160" s="43"/>
      <c r="C160" s="43"/>
      <c r="D160" s="43"/>
      <c r="E160" s="43"/>
      <c r="F160" s="43"/>
      <c r="G160" s="13"/>
      <c r="H160" s="13"/>
    </row>
  </sheetData>
  <mergeCells count="200">
    <mergeCell ref="J55:J57"/>
    <mergeCell ref="L122:L123"/>
    <mergeCell ref="M122:M123"/>
    <mergeCell ref="N122:N123"/>
    <mergeCell ref="C125:E126"/>
    <mergeCell ref="F125:F126"/>
    <mergeCell ref="G125:G126"/>
    <mergeCell ref="H125:H126"/>
    <mergeCell ref="I125:I126"/>
    <mergeCell ref="J125:J126"/>
    <mergeCell ref="K122:K123"/>
    <mergeCell ref="I93:I96"/>
    <mergeCell ref="J93:J96"/>
    <mergeCell ref="C75:G75"/>
    <mergeCell ref="B120:G120"/>
    <mergeCell ref="C115:G115"/>
    <mergeCell ref="B110:B115"/>
    <mergeCell ref="B104:B107"/>
    <mergeCell ref="A109:G109"/>
    <mergeCell ref="C105:G105"/>
    <mergeCell ref="C104:E104"/>
    <mergeCell ref="C113:G113"/>
    <mergeCell ref="A118:A120"/>
    <mergeCell ref="A38:A84"/>
    <mergeCell ref="H44:H45"/>
    <mergeCell ref="I44:I45"/>
    <mergeCell ref="J44:J45"/>
    <mergeCell ref="H51:H53"/>
    <mergeCell ref="C66:E66"/>
    <mergeCell ref="C107:G107"/>
    <mergeCell ref="B108:G108"/>
    <mergeCell ref="C111:G111"/>
    <mergeCell ref="B84:G84"/>
    <mergeCell ref="H68:H70"/>
    <mergeCell ref="I68:I70"/>
    <mergeCell ref="J68:J70"/>
    <mergeCell ref="C46:G46"/>
    <mergeCell ref="C47:E47"/>
    <mergeCell ref="H63:H64"/>
    <mergeCell ref="C50:G50"/>
    <mergeCell ref="C51:E53"/>
    <mergeCell ref="C83:G83"/>
    <mergeCell ref="F44:F45"/>
    <mergeCell ref="G44:G45"/>
    <mergeCell ref="G51:G53"/>
    <mergeCell ref="C74:E74"/>
    <mergeCell ref="C73:G73"/>
    <mergeCell ref="G55:G57"/>
    <mergeCell ref="I51:I53"/>
    <mergeCell ref="J51:J53"/>
    <mergeCell ref="H55:H57"/>
    <mergeCell ref="I55:I57"/>
    <mergeCell ref="I86:I89"/>
    <mergeCell ref="J86:J89"/>
    <mergeCell ref="A85:G85"/>
    <mergeCell ref="B86:B97"/>
    <mergeCell ref="C91:E91"/>
    <mergeCell ref="C92:G92"/>
    <mergeCell ref="C97:G97"/>
    <mergeCell ref="F86:F89"/>
    <mergeCell ref="G86:G89"/>
    <mergeCell ref="H86:H89"/>
    <mergeCell ref="C86:E89"/>
    <mergeCell ref="C90:G90"/>
    <mergeCell ref="H93:H96"/>
    <mergeCell ref="C65:G65"/>
    <mergeCell ref="F63:F64"/>
    <mergeCell ref="G63:G64"/>
    <mergeCell ref="C76:E76"/>
    <mergeCell ref="A86:A108"/>
    <mergeCell ref="C100:G100"/>
    <mergeCell ref="B103:G103"/>
    <mergeCell ref="I38:I42"/>
    <mergeCell ref="J38:J42"/>
    <mergeCell ref="F23:F30"/>
    <mergeCell ref="G23:G30"/>
    <mergeCell ref="H23:H30"/>
    <mergeCell ref="I23:I30"/>
    <mergeCell ref="J23:J30"/>
    <mergeCell ref="F17:F19"/>
    <mergeCell ref="G17:G19"/>
    <mergeCell ref="H17:H19"/>
    <mergeCell ref="I17:I19"/>
    <mergeCell ref="J17:J19"/>
    <mergeCell ref="F32:F33"/>
    <mergeCell ref="G32:G33"/>
    <mergeCell ref="H32:H33"/>
    <mergeCell ref="I32:I33"/>
    <mergeCell ref="J32:J33"/>
    <mergeCell ref="C20:G20"/>
    <mergeCell ref="H38:H42"/>
    <mergeCell ref="A137:G137"/>
    <mergeCell ref="A138:G138"/>
    <mergeCell ref="C130:G130"/>
    <mergeCell ref="C135:G135"/>
    <mergeCell ref="B129:B135"/>
    <mergeCell ref="B136:G136"/>
    <mergeCell ref="C127:G127"/>
    <mergeCell ref="B122:B127"/>
    <mergeCell ref="B128:G128"/>
    <mergeCell ref="C133:E134"/>
    <mergeCell ref="C124:G124"/>
    <mergeCell ref="A122:A128"/>
    <mergeCell ref="A129:A136"/>
    <mergeCell ref="C132:G132"/>
    <mergeCell ref="C131:E131"/>
    <mergeCell ref="C129:E129"/>
    <mergeCell ref="C122:E123"/>
    <mergeCell ref="F122:F123"/>
    <mergeCell ref="A6:A8"/>
    <mergeCell ref="B6:B8"/>
    <mergeCell ref="C6:C8"/>
    <mergeCell ref="D6:D8"/>
    <mergeCell ref="E6:E8"/>
    <mergeCell ref="C16:E19"/>
    <mergeCell ref="C11:G11"/>
    <mergeCell ref="C77:G77"/>
    <mergeCell ref="C78:E78"/>
    <mergeCell ref="C43:G43"/>
    <mergeCell ref="C32:E34"/>
    <mergeCell ref="C15:G15"/>
    <mergeCell ref="F12:F14"/>
    <mergeCell ref="G12:G14"/>
    <mergeCell ref="A37:G37"/>
    <mergeCell ref="F38:F42"/>
    <mergeCell ref="G38:G42"/>
    <mergeCell ref="C68:E70"/>
    <mergeCell ref="C71:G71"/>
    <mergeCell ref="A9:A36"/>
    <mergeCell ref="C58:G58"/>
    <mergeCell ref="C60:G60"/>
    <mergeCell ref="C61:E61"/>
    <mergeCell ref="C62:G62"/>
    <mergeCell ref="B38:B83"/>
    <mergeCell ref="C23:E30"/>
    <mergeCell ref="C31:G31"/>
    <mergeCell ref="C44:E45"/>
    <mergeCell ref="C72:E72"/>
    <mergeCell ref="C79:G79"/>
    <mergeCell ref="C80:E80"/>
    <mergeCell ref="C81:G81"/>
    <mergeCell ref="C82:E82"/>
    <mergeCell ref="F51:F53"/>
    <mergeCell ref="F55:F57"/>
    <mergeCell ref="C54:G54"/>
    <mergeCell ref="C55:E57"/>
    <mergeCell ref="C67:G67"/>
    <mergeCell ref="C21:E21"/>
    <mergeCell ref="C22:G22"/>
    <mergeCell ref="C12:E14"/>
    <mergeCell ref="C35:G35"/>
    <mergeCell ref="C38:E42"/>
    <mergeCell ref="J6:J8"/>
    <mergeCell ref="K68:K69"/>
    <mergeCell ref="L68:L69"/>
    <mergeCell ref="M68:M69"/>
    <mergeCell ref="N68:N69"/>
    <mergeCell ref="C48:G48"/>
    <mergeCell ref="H12:H14"/>
    <mergeCell ref="I12:I14"/>
    <mergeCell ref="J12:J14"/>
    <mergeCell ref="B36:G36"/>
    <mergeCell ref="I63:I64"/>
    <mergeCell ref="J63:J64"/>
    <mergeCell ref="C59:E59"/>
    <mergeCell ref="H9:H10"/>
    <mergeCell ref="I9:I10"/>
    <mergeCell ref="C63:E64"/>
    <mergeCell ref="J9:J10"/>
    <mergeCell ref="C49:E49"/>
    <mergeCell ref="C9:E10"/>
    <mergeCell ref="F68:F70"/>
    <mergeCell ref="G68:G70"/>
    <mergeCell ref="F9:F10"/>
    <mergeCell ref="G9:G10"/>
    <mergeCell ref="B9:B35"/>
    <mergeCell ref="A3:J3"/>
    <mergeCell ref="K3:L3"/>
    <mergeCell ref="A121:G121"/>
    <mergeCell ref="C93:E96"/>
    <mergeCell ref="F93:F96"/>
    <mergeCell ref="G93:G96"/>
    <mergeCell ref="B98:G98"/>
    <mergeCell ref="C99:E99"/>
    <mergeCell ref="B116:G116"/>
    <mergeCell ref="C118:E118"/>
    <mergeCell ref="A110:A116"/>
    <mergeCell ref="A117:G117"/>
    <mergeCell ref="C119:G119"/>
    <mergeCell ref="B118:B119"/>
    <mergeCell ref="C102:G102"/>
    <mergeCell ref="B99:B102"/>
    <mergeCell ref="C101:E101"/>
    <mergeCell ref="K6:N6"/>
    <mergeCell ref="K7:K8"/>
    <mergeCell ref="L7:N7"/>
    <mergeCell ref="F6:F8"/>
    <mergeCell ref="G6:G8"/>
    <mergeCell ref="H6:H8"/>
    <mergeCell ref="I6:I8"/>
  </mergeCells>
  <phoneticPr fontId="6" type="noConversion"/>
  <pageMargins left="0.39370078740157483" right="0.39370078740157483" top="0.59055118110236227" bottom="0.39370078740157483" header="0" footer="0"/>
  <pageSetup paperSize="9" scale="95" fitToHeight="0" orientation="landscape" r:id="rId1"/>
  <headerFooter alignWithMargins="0">
    <oddHeader>&amp;C8.1.-&amp;P</oddHeader>
  </headerFooter>
  <ignoredErrors>
    <ignoredError sqref="I105" 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zoomScaleNormal="100" zoomScaleSheetLayoutView="110" workbookViewId="0">
      <selection activeCell="C19" sqref="C19"/>
    </sheetView>
  </sheetViews>
  <sheetFormatPr defaultRowHeight="12.75"/>
  <cols>
    <col min="1" max="1" width="28.140625" customWidth="1"/>
    <col min="2" max="3" width="12.7109375" customWidth="1"/>
    <col min="4" max="4" width="14.5703125" customWidth="1"/>
    <col min="5" max="5" width="12.7109375" customWidth="1"/>
    <col min="6" max="6" width="9.85546875" customWidth="1"/>
    <col min="7" max="7" width="10.7109375" customWidth="1"/>
  </cols>
  <sheetData>
    <row r="1" spans="1:9" ht="15.75">
      <c r="A1" s="44" t="s">
        <v>15</v>
      </c>
      <c r="F1" t="s">
        <v>48</v>
      </c>
    </row>
    <row r="2" spans="1:9" ht="13.5" thickBot="1"/>
    <row r="3" spans="1:9" ht="12.75" customHeight="1">
      <c r="A3" s="1946" t="s">
        <v>50</v>
      </c>
      <c r="B3" s="1948" t="s">
        <v>807</v>
      </c>
      <c r="C3" s="1957" t="s">
        <v>808</v>
      </c>
      <c r="D3" s="1953" t="s">
        <v>287</v>
      </c>
      <c r="E3" s="1955" t="s">
        <v>809</v>
      </c>
      <c r="G3" s="1950" t="s">
        <v>810</v>
      </c>
    </row>
    <row r="4" spans="1:9">
      <c r="A4" s="1947"/>
      <c r="B4" s="1949"/>
      <c r="C4" s="1958"/>
      <c r="D4" s="1954"/>
      <c r="E4" s="1956"/>
      <c r="G4" s="1951"/>
    </row>
    <row r="5" spans="1:9" ht="12" customHeight="1">
      <c r="A5" s="1947"/>
      <c r="B5" s="1949"/>
      <c r="C5" s="1958"/>
      <c r="D5" s="1954"/>
      <c r="E5" s="1956"/>
      <c r="G5" s="1951"/>
    </row>
    <row r="6" spans="1:9">
      <c r="A6" s="1947"/>
      <c r="B6" s="1949"/>
      <c r="C6" s="1959"/>
      <c r="D6" s="1954"/>
      <c r="E6" s="1956"/>
      <c r="G6" s="1952"/>
    </row>
    <row r="7" spans="1:9" ht="25.5" customHeight="1">
      <c r="A7" s="45" t="s">
        <v>80</v>
      </c>
      <c r="B7" s="58">
        <v>56549.1</v>
      </c>
      <c r="C7" s="58">
        <f>'1 programa'!H194+'2 programa'!H140+'3 programa'!H41+'4 programa'!H53+'5 programa'!H51+'6 programa'!H77+'7 programa'!H274+'8 programa'!H138</f>
        <v>62889.900000000009</v>
      </c>
      <c r="D7" s="58">
        <f>'1 programa'!I194+'2 programa'!I140+'3 programa'!I41+'4 programa'!I53+'5 programa'!I51+'6 programa'!I77+'7 programa'!I274+'8 programa'!I138</f>
        <v>55643.8822</v>
      </c>
      <c r="E7" s="59">
        <f>'1 programa'!J194+'2 programa'!J140+'3 programa'!J41+'4 programa'!J53+'5 programa'!J51+'6 programa'!J77+'7 programa'!J274+'8 programa'!J138</f>
        <v>51937.631193200003</v>
      </c>
      <c r="G7" s="49">
        <f t="shared" ref="G7:G19" si="0">(C7-B7)/B7</f>
        <v>0.11212910550300553</v>
      </c>
    </row>
    <row r="8" spans="1:9" ht="25.5" customHeight="1">
      <c r="A8" s="46" t="s">
        <v>52</v>
      </c>
      <c r="B8" s="58">
        <v>56548.5</v>
      </c>
      <c r="C8" s="58">
        <f>'1 programa'!H207+'2 programa'!H153+'3 programa'!H54+'4 programa'!H66+'5 programa'!H64+'6 programa'!H90+'7 programa'!H287+'8 programa'!H151</f>
        <v>62889.900000000009</v>
      </c>
      <c r="D8" s="58">
        <f>'1 programa'!I207+'2 programa'!I153+'3 programa'!I54+'4 programa'!I66+'5 programa'!I64+'6 programa'!I90+'7 programa'!I287+'8 programa'!I151</f>
        <v>55643.8822</v>
      </c>
      <c r="E8" s="59">
        <f>'1 programa'!J207+'2 programa'!J153+'3 programa'!J54+'4 programa'!J66+'5 programa'!J64+'6 programa'!J90+'7 programa'!J287+'8 programa'!J151</f>
        <v>51937.631193200003</v>
      </c>
      <c r="G8" s="49">
        <f t="shared" si="0"/>
        <v>0.112140905594313</v>
      </c>
      <c r="I8" s="330"/>
    </row>
    <row r="9" spans="1:9">
      <c r="A9" s="102" t="s">
        <v>235</v>
      </c>
      <c r="B9" s="60">
        <v>24608.9</v>
      </c>
      <c r="C9" s="60">
        <f>'1 programa'!H196+'2 programa'!H142+'3 programa'!H43+'4 programa'!H55+'5 programa'!H53+'6 programa'!H79+'7 programa'!H276+'8 programa'!H140</f>
        <v>29180.6</v>
      </c>
      <c r="D9" s="60">
        <f>'1 programa'!I196+'2 programa'!I142+'3 programa'!I43+'4 programa'!I55+'5 programa'!I53+'6 programa'!I79+'7 programa'!I276+'8 programa'!I140</f>
        <v>25135.661399999997</v>
      </c>
      <c r="E9" s="61">
        <f>'1 programa'!J196+'2 programa'!J142+'3 programa'!J43+'4 programa'!J55+'5 programa'!J53+'6 programa'!J79+'7 programa'!J276+'8 programa'!J140</f>
        <v>24742.250130399996</v>
      </c>
      <c r="G9" s="47">
        <f t="shared" si="0"/>
        <v>0.1857742524046177</v>
      </c>
      <c r="I9" s="330"/>
    </row>
    <row r="10" spans="1:9" ht="24">
      <c r="A10" s="102" t="s">
        <v>225</v>
      </c>
      <c r="B10" s="60">
        <v>12303.100000000002</v>
      </c>
      <c r="C10" s="60">
        <f>'1 programa'!H197+'2 programa'!H143+'3 programa'!H44+'4 programa'!H56+'5 programa'!H54+'6 programa'!H80+'7 programa'!H277+'8 programa'!H141</f>
        <v>11838.600000000004</v>
      </c>
      <c r="D10" s="60">
        <f>'1 programa'!I197+'2 programa'!I143+'3 programa'!I44+'4 programa'!I56+'5 programa'!I54+'6 programa'!I80+'7 programa'!I277+'8 programa'!I141</f>
        <v>11523.194800000003</v>
      </c>
      <c r="E10" s="61">
        <f>'1 programa'!J197+'2 programa'!J143+'3 programa'!J44+'4 programa'!J56+'5 programa'!J54+'6 programa'!J80+'7 programa'!J277+'8 programa'!J141</f>
        <v>11619.306626799998</v>
      </c>
      <c r="G10" s="47">
        <f t="shared" si="0"/>
        <v>-3.7754712226999547E-2</v>
      </c>
    </row>
    <row r="11" spans="1:9" ht="24">
      <c r="A11" s="102" t="s">
        <v>226</v>
      </c>
      <c r="B11" s="60">
        <v>6181.7999999999993</v>
      </c>
      <c r="C11" s="60">
        <f>'1 programa'!H198+'2 programa'!H144+'3 programa'!H45+'4 programa'!H57+'5 programa'!H55+'6 programa'!H81+'7 programa'!H278+'8 programa'!H142</f>
        <v>5459.4000000000005</v>
      </c>
      <c r="D11" s="60">
        <f>'1 programa'!I198+'2 programa'!I144+'3 programa'!I45+'4 programa'!I57+'5 programa'!I55+'6 programa'!I81+'7 programa'!I278+'8 programa'!I142</f>
        <v>2758.2000000000003</v>
      </c>
      <c r="E11" s="61">
        <f>'1 programa'!J198+'2 programa'!J144+'3 programa'!J45+'4 programa'!J57+'5 programa'!J55+'6 programa'!J81+'7 programa'!J278+'8 programa'!J142</f>
        <v>1235.9000000000001</v>
      </c>
      <c r="G11" s="47">
        <f t="shared" si="0"/>
        <v>-0.1168591672328446</v>
      </c>
    </row>
    <row r="12" spans="1:9" ht="24">
      <c r="A12" s="102" t="s">
        <v>227</v>
      </c>
      <c r="B12" s="331">
        <v>426.5</v>
      </c>
      <c r="C12" s="331">
        <f>'1 programa'!H199+'2 programa'!H145+'3 programa'!H46+'4 programa'!H58+'5 programa'!H56+'6 programa'!H82+'7 programa'!H279+'8 programa'!H143</f>
        <v>553.5</v>
      </c>
      <c r="D12" s="331">
        <f>'1 programa'!I199+'2 programa'!I145+'3 programa'!I46+'4 programa'!I58+'5 programa'!I56+'6 programa'!I82+'7 programa'!I279+'8 programa'!I143</f>
        <v>553.86</v>
      </c>
      <c r="E12" s="61">
        <f>'1 programa'!J199+'2 programa'!J145+'3 programa'!J46+'4 programa'!J58+'5 programa'!J56+'6 programa'!J82+'7 programa'!J279+'8 programa'!J143</f>
        <v>554.22216000000003</v>
      </c>
      <c r="G12" s="47">
        <f t="shared" si="0"/>
        <v>0.29777256740914421</v>
      </c>
    </row>
    <row r="13" spans="1:9" ht="24">
      <c r="A13" s="102" t="s">
        <v>228</v>
      </c>
      <c r="B13" s="60">
        <v>1653.7</v>
      </c>
      <c r="C13" s="60">
        <f>'1 programa'!H200+'2 programa'!H146+'3 programa'!H47+'4 programa'!H59+'5 programa'!H57+'6 programa'!H83+'7 programa'!H280+'8 programa'!H144</f>
        <v>2131.5</v>
      </c>
      <c r="D13" s="60">
        <f>'1 programa'!I200+'2 programa'!I146+'3 programa'!I47+'4 programa'!I59+'5 programa'!I57+'6 programa'!I83+'7 programa'!I280+'8 programa'!I144</f>
        <v>2266.3224</v>
      </c>
      <c r="E13" s="61">
        <f>'1 programa'!J200+'2 programa'!J146+'3 programa'!J47+'4 programa'!J59+'5 programa'!J57+'6 programa'!J83+'7 programa'!J280+'8 programa'!J144</f>
        <v>1752.7658144</v>
      </c>
      <c r="G13" s="47">
        <f t="shared" si="0"/>
        <v>0.28892785874100496</v>
      </c>
    </row>
    <row r="14" spans="1:9">
      <c r="A14" s="102" t="s">
        <v>229</v>
      </c>
      <c r="B14" s="60">
        <v>11.4</v>
      </c>
      <c r="C14" s="60">
        <f>'1 programa'!H201+'2 programa'!H147+'3 programa'!H48+'4 programa'!H60+'5 programa'!H58+'6 programa'!H84+'7 programa'!H281+'8 programa'!H145</f>
        <v>64.5</v>
      </c>
      <c r="D14" s="60">
        <f>'1 programa'!I201+'2 programa'!I147+'3 programa'!I48+'4 programa'!I60+'5 programa'!I58+'6 programa'!I84+'7 programa'!I281+'8 programa'!I145</f>
        <v>64.5</v>
      </c>
      <c r="E14" s="61">
        <f>'1 programa'!J201+'2 programa'!J147+'3 programa'!J48+'4 programa'!J60+'5 programa'!J58+'6 programa'!J84+'7 programa'!J281+'8 programa'!J145</f>
        <v>64.5</v>
      </c>
      <c r="G14" s="47">
        <f t="shared" si="0"/>
        <v>4.6578947368421053</v>
      </c>
    </row>
    <row r="15" spans="1:9" ht="24">
      <c r="A15" s="102" t="s">
        <v>230</v>
      </c>
      <c r="B15" s="60">
        <v>8782</v>
      </c>
      <c r="C15" s="60">
        <f>'1 programa'!H202+'2 programa'!H148+'3 programa'!H49+'4 programa'!H61+'5 programa'!H59+'6 programa'!H85+'7 programa'!H282+'8 programa'!H146</f>
        <v>12449.8</v>
      </c>
      <c r="D15" s="60">
        <f>'1 programa'!I202+'2 programa'!I148+'3 programa'!I49+'4 programa'!I61+'5 programa'!I59+'6 programa'!I85+'7 programa'!I282+'8 programa'!I146</f>
        <v>12124.34</v>
      </c>
      <c r="E15" s="61">
        <f>'1 programa'!J202+'2 programa'!J148+'3 programa'!J49+'4 programa'!J61+'5 programa'!J59+'6 programa'!J85+'7 programa'!J282+'8 programa'!J146</f>
        <v>10743.636040000001</v>
      </c>
      <c r="G15" s="47">
        <f t="shared" si="0"/>
        <v>0.41764973810066036</v>
      </c>
    </row>
    <row r="16" spans="1:9" ht="12" customHeight="1">
      <c r="A16" s="102" t="s">
        <v>231</v>
      </c>
      <c r="B16" s="60">
        <v>1374</v>
      </c>
      <c r="C16" s="60">
        <f>'1 programa'!H203+'2 programa'!H149+'3 programa'!H50+'4 programa'!H62+'5 programa'!H60+'6 programa'!H86+'7 programa'!H283+'8 programa'!H147</f>
        <v>0</v>
      </c>
      <c r="D16" s="60">
        <f>'1 programa'!I203+'2 programa'!I149+'3 programa'!I50+'4 programa'!I62+'5 programa'!I60+'6 programa'!I86+'7 programa'!I283+'8 programa'!I147</f>
        <v>0</v>
      </c>
      <c r="E16" s="61">
        <f>'1 programa'!J203+'2 programa'!J149+'3 programa'!J50+'4 programa'!J62+'5 programa'!J60+'6 programa'!J86+'7 programa'!J283+'8 programa'!J147</f>
        <v>0</v>
      </c>
      <c r="G16" s="47">
        <f t="shared" si="0"/>
        <v>-1</v>
      </c>
    </row>
    <row r="17" spans="1:7" ht="0.75" hidden="1" customHeight="1">
      <c r="A17" s="102" t="s">
        <v>232</v>
      </c>
      <c r="B17" s="60">
        <v>0</v>
      </c>
      <c r="C17" s="60">
        <f>'1 programa'!H204+'2 programa'!H150+'3 programa'!H51+'4 programa'!H63+'5 programa'!H61+'6 programa'!H87+'7 programa'!H284+'8 programa'!H148</f>
        <v>0</v>
      </c>
      <c r="D17" s="60">
        <f>'1 programa'!I204+'2 programa'!I150+'3 programa'!I51+'4 programa'!I63+'5 programa'!I61+'6 programa'!I87+'7 programa'!I284+'8 programa'!I148</f>
        <v>0</v>
      </c>
      <c r="E17" s="61">
        <f>'1 programa'!J204+'2 programa'!J150+'3 programa'!J51+'4 programa'!J63+'5 programa'!J61+'6 programa'!J87+'7 programa'!J284+'8 programa'!J148</f>
        <v>0</v>
      </c>
      <c r="G17" s="47" t="e">
        <f t="shared" si="0"/>
        <v>#DIV/0!</v>
      </c>
    </row>
    <row r="18" spans="1:7">
      <c r="A18" s="102" t="s">
        <v>233</v>
      </c>
      <c r="B18" s="60">
        <v>64.3</v>
      </c>
      <c r="C18" s="60">
        <f>'1 programa'!H205+'2 programa'!H151+'3 programa'!H52+'4 programa'!H64+'5 programa'!H62+'6 programa'!H88+'7 programa'!H285+'8 programa'!H149</f>
        <v>10</v>
      </c>
      <c r="D18" s="60">
        <f>'1 programa'!I205+'2 programa'!I151+'3 programa'!I52+'4 programa'!I64+'5 programa'!I62+'6 programa'!I88+'7 programa'!I285+'8 programa'!I149</f>
        <v>10</v>
      </c>
      <c r="E18" s="61">
        <f>'1 programa'!J205+'2 programa'!J151+'3 programa'!J52+'4 programa'!J64+'5 programa'!J62+'6 programa'!J88+'7 programa'!J285+'8 programa'!J149</f>
        <v>10</v>
      </c>
      <c r="G18" s="47">
        <f t="shared" si="0"/>
        <v>-0.84447900466562986</v>
      </c>
    </row>
    <row r="19" spans="1:7" ht="13.5" thickBot="1">
      <c r="A19" s="103" t="s">
        <v>234</v>
      </c>
      <c r="B19" s="62">
        <v>1142.7999999999997</v>
      </c>
      <c r="C19" s="62">
        <f>'1 programa'!H206+'2 programa'!H152+'3 programa'!H53+'4 programa'!H65+'5 programa'!H63+'6 programa'!H89+'7 programa'!H286+'8 programa'!H150</f>
        <v>1202</v>
      </c>
      <c r="D19" s="62">
        <f>'1 programa'!I206+'2 programa'!I152+'3 programa'!I53+'4 programa'!I65+'5 programa'!I63+'6 programa'!I89+'7 programa'!I286+'8 programa'!I150</f>
        <v>1207.8035999999997</v>
      </c>
      <c r="E19" s="63">
        <f>'1 programa'!J206+'2 programa'!J152+'3 programa'!J53+'4 programa'!J65+'5 programa'!J63+'6 programa'!J89+'7 programa'!J286+'8 programa'!J150</f>
        <v>1215.0504215999999</v>
      </c>
      <c r="G19" s="48">
        <f t="shared" si="0"/>
        <v>5.1802590129506727E-2</v>
      </c>
    </row>
  </sheetData>
  <mergeCells count="6">
    <mergeCell ref="A3:A6"/>
    <mergeCell ref="B3:B6"/>
    <mergeCell ref="G3:G6"/>
    <mergeCell ref="D3:D6"/>
    <mergeCell ref="E3:E6"/>
    <mergeCell ref="C3:C6"/>
  </mergeCells>
  <phoneticPr fontId="6" type="noConversion"/>
  <pageMargins left="0.75" right="0.75" top="1" bottom="1" header="0" footer="0"/>
  <pageSetup paperSize="9" scale="92" orientation="portrait" verticalDpi="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17</vt:i4>
      </vt:variant>
      <vt:variant>
        <vt:lpstr>Įvardinti diapazonai</vt:lpstr>
      </vt:variant>
      <vt:variant>
        <vt:i4>9</vt:i4>
      </vt:variant>
    </vt:vector>
  </HeadingPairs>
  <TitlesOfParts>
    <vt:vector size="26" baseType="lpstr">
      <vt:lpstr>1 programa</vt:lpstr>
      <vt:lpstr>2 programa</vt:lpstr>
      <vt:lpstr>3 programa</vt:lpstr>
      <vt:lpstr>4 programa</vt:lpstr>
      <vt:lpstr>5 programa</vt:lpstr>
      <vt:lpstr>6 programa</vt:lpstr>
      <vt:lpstr>7 programa</vt:lpstr>
      <vt:lpstr>8 programa</vt:lpstr>
      <vt:lpstr>9priedas (suma)</vt:lpstr>
      <vt:lpstr>1-1b</vt:lpstr>
      <vt:lpstr>2-1b</vt:lpstr>
      <vt:lpstr>3-1b</vt:lpstr>
      <vt:lpstr>4-1b</vt:lpstr>
      <vt:lpstr>5-1b</vt:lpstr>
      <vt:lpstr>6-1b</vt:lpstr>
      <vt:lpstr>7-1b</vt:lpstr>
      <vt:lpstr>8-1b</vt:lpstr>
      <vt:lpstr>'1 programa'!Print_Area</vt:lpstr>
      <vt:lpstr>'2 programa'!Print_Area</vt:lpstr>
      <vt:lpstr>'3 programa'!Print_Area</vt:lpstr>
      <vt:lpstr>'4 programa'!Print_Area</vt:lpstr>
      <vt:lpstr>'5 programa'!Print_Area</vt:lpstr>
      <vt:lpstr>'6 programa'!Print_Area</vt:lpstr>
      <vt:lpstr>'7 programa'!Print_Area</vt:lpstr>
      <vt:lpstr>'8 programa'!Print_Area</vt:lpstr>
      <vt:lpstr>'9priedas (suma)'!Print_Area</vt:lpstr>
    </vt:vector>
  </TitlesOfParts>
  <Company>_</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Roberta</dc:creator>
  <cp:lastModifiedBy>Agnė</cp:lastModifiedBy>
  <cp:lastPrinted>2018-01-26T07:12:18Z</cp:lastPrinted>
  <dcterms:created xsi:type="dcterms:W3CDTF">2004-08-27T06:57:44Z</dcterms:created>
  <dcterms:modified xsi:type="dcterms:W3CDTF">2018-01-26T07:20:36Z</dcterms:modified>
</cp:coreProperties>
</file>