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itanagu\Desktop\STRATEGINIS planas, VEIKLOS planas, BIUDZETAS,\2. VEIKLOS planas\2019 m\TS\"/>
    </mc:Choice>
  </mc:AlternateContent>
  <xr:revisionPtr revIDLastSave="0" documentId="13_ncr:1_{7C5D06A8-5894-4EAD-BC8D-AEF2F10A5D97}" xr6:coauthVersionLast="40" xr6:coauthVersionMax="40" xr10:uidLastSave="{00000000-0000-0000-0000-000000000000}"/>
  <bookViews>
    <workbookView xWindow="-120" yWindow="-120" windowWidth="24240" windowHeight="13140" tabRatio="888" xr2:uid="{00000000-000D-0000-FFFF-FFFF00000000}"/>
  </bookViews>
  <sheets>
    <sheet name="1 programa" sheetId="4" r:id="rId1"/>
    <sheet name="2 programa" sheetId="49" r:id="rId2"/>
    <sheet name="3 programa" sheetId="13" r:id="rId3"/>
    <sheet name="4 programa" sheetId="18" r:id="rId4"/>
    <sheet name="5 programa" sheetId="23" r:id="rId5"/>
    <sheet name="6 programa" sheetId="28" r:id="rId6"/>
    <sheet name="7 programa" sheetId="7" r:id="rId7"/>
    <sheet name="8 programa" sheetId="34" r:id="rId8"/>
    <sheet name="9priedas (suma)" sheetId="43" r:id="rId9"/>
    <sheet name="1-1b" sheetId="11" r:id="rId10"/>
    <sheet name="2-1b" sheetId="45" r:id="rId11"/>
    <sheet name="3-1b" sheetId="16" r:id="rId12"/>
    <sheet name="4-1b" sheetId="21" r:id="rId13"/>
    <sheet name="5-1b" sheetId="26" r:id="rId14"/>
    <sheet name="6-1b" sheetId="31" r:id="rId15"/>
    <sheet name="7-1b" sheetId="10" r:id="rId16"/>
    <sheet name="8-1b" sheetId="35" r:id="rId17"/>
  </sheets>
  <definedNames>
    <definedName name="_xlnm.Print_Area" localSheetId="0">'1 programa'!$A$1:$N$197</definedName>
    <definedName name="_xlnm.Print_Area" localSheetId="1">'2 programa'!$A$1:$N$170</definedName>
    <definedName name="_xlnm.Print_Area" localSheetId="2">'3 programa'!$A$1:$N$57</definedName>
    <definedName name="_xlnm.Print_Area" localSheetId="3">'4 programa'!$A$1:$N$47</definedName>
    <definedName name="_xlnm.Print_Area" localSheetId="4">'5 programa'!$A$1:$N$53</definedName>
    <definedName name="_xlnm.Print_Area" localSheetId="5">'6 programa'!$A$1:$N$79</definedName>
    <definedName name="_xlnm.Print_Area" localSheetId="6">'7 programa'!$A$1:$N$288</definedName>
    <definedName name="_xlnm.Print_Area" localSheetId="7">'8 programa'!$A$1:$N$147</definedName>
    <definedName name="_xlnm.Print_Area" localSheetId="8">'9priedas (suma)'!$A$1:$G$20</definedName>
    <definedName name="_xlnm.Print_Titles" localSheetId="1">'2 programa'!$A:$N,'2 programa'!#REF!</definedName>
    <definedName name="_xlnm.Print_Titles" localSheetId="2">'3 programa'!$A:$N,'3 programa'!#REF!</definedName>
    <definedName name="_xlnm.Print_Titles" localSheetId="4">'5 programa'!$A:$N,'5 programa'!#REF!</definedName>
    <definedName name="_xlnm.Print_Titles" localSheetId="5">'6 programa'!$A:$N,'6 programa'!#REF!</definedName>
  </definedNames>
  <calcPr calcId="181029"/>
</workbook>
</file>

<file path=xl/calcChain.xml><?xml version="1.0" encoding="utf-8"?>
<calcChain xmlns="http://schemas.openxmlformats.org/spreadsheetml/2006/main">
  <c r="H31" i="4" l="1"/>
  <c r="H85" i="4"/>
  <c r="J232" i="7" l="1"/>
  <c r="I232" i="7"/>
  <c r="I127" i="7"/>
  <c r="J127" i="7"/>
  <c r="H127" i="7"/>
  <c r="I113" i="49" l="1"/>
  <c r="J113" i="49"/>
  <c r="H113" i="49"/>
  <c r="H68" i="49" l="1"/>
  <c r="H65" i="49"/>
  <c r="H90" i="49"/>
  <c r="H16" i="34"/>
  <c r="H130" i="4"/>
  <c r="I77" i="49" l="1"/>
  <c r="J77" i="49"/>
  <c r="H75" i="49"/>
  <c r="J75" i="49"/>
  <c r="I75" i="49"/>
  <c r="H77" i="49"/>
  <c r="H73" i="49"/>
  <c r="J73" i="49"/>
  <c r="I73" i="49"/>
  <c r="H71" i="49"/>
  <c r="J70" i="49"/>
  <c r="J71" i="49" s="1"/>
  <c r="H79" i="49"/>
  <c r="H53" i="4"/>
  <c r="H27" i="4"/>
  <c r="H60" i="28"/>
  <c r="I59" i="28"/>
  <c r="I60" i="28" s="1"/>
  <c r="J59" i="28" l="1"/>
  <c r="J60" i="28" s="1"/>
  <c r="I71" i="49"/>
  <c r="H55" i="7"/>
  <c r="H20" i="7"/>
  <c r="H10" i="7"/>
  <c r="H58" i="7"/>
  <c r="H60" i="7"/>
  <c r="H62" i="7"/>
  <c r="H64" i="7"/>
  <c r="H66" i="7"/>
  <c r="H68" i="7"/>
  <c r="H70" i="7"/>
  <c r="H72" i="7"/>
  <c r="H74" i="7"/>
  <c r="H76" i="7"/>
  <c r="H78" i="7"/>
  <c r="H81" i="7"/>
  <c r="H84" i="7"/>
  <c r="H88" i="7"/>
  <c r="H86" i="7"/>
  <c r="H91" i="7"/>
  <c r="H94" i="7"/>
  <c r="H96" i="7"/>
  <c r="H99" i="7"/>
  <c r="H247" i="7"/>
  <c r="H245" i="7"/>
  <c r="H249" i="7"/>
  <c r="H251" i="7"/>
  <c r="H240" i="7"/>
  <c r="H242" i="7"/>
  <c r="H237" i="7"/>
  <c r="H234" i="7"/>
  <c r="H229" i="7"/>
  <c r="H232" i="7" s="1"/>
  <c r="H219" i="7"/>
  <c r="H222" i="7"/>
  <c r="H224" i="7"/>
  <c r="H227" i="7"/>
  <c r="H210" i="7"/>
  <c r="H214" i="7"/>
  <c r="H106" i="7"/>
  <c r="H108" i="7"/>
  <c r="H112" i="7"/>
  <c r="H116" i="7"/>
  <c r="H118" i="7"/>
  <c r="H121" i="7"/>
  <c r="H124" i="7"/>
  <c r="H131" i="7"/>
  <c r="H133" i="7"/>
  <c r="H135" i="7"/>
  <c r="H138" i="7"/>
  <c r="H140" i="7"/>
  <c r="H142" i="7"/>
  <c r="H147" i="7"/>
  <c r="H151" i="7"/>
  <c r="H153" i="7"/>
  <c r="H155" i="7"/>
  <c r="H157" i="7"/>
  <c r="H160" i="7"/>
  <c r="H165" i="7"/>
  <c r="H169" i="7"/>
  <c r="H163" i="7"/>
  <c r="H173" i="7"/>
  <c r="H177" i="7"/>
  <c r="H183" i="7"/>
  <c r="H181" i="7"/>
  <c r="H188" i="7"/>
  <c r="H191" i="7"/>
  <c r="H194" i="7"/>
  <c r="H198" i="7"/>
  <c r="H202" i="7"/>
  <c r="H206" i="7"/>
  <c r="H196" i="7"/>
  <c r="H264" i="7"/>
  <c r="H266" i="7"/>
  <c r="H269" i="7"/>
  <c r="H270" i="7" s="1"/>
  <c r="H273" i="7"/>
  <c r="H256" i="7"/>
  <c r="H258" i="7"/>
  <c r="H260" i="7"/>
  <c r="I21" i="7"/>
  <c r="J21" i="7" s="1"/>
  <c r="I22" i="7"/>
  <c r="J22" i="7" s="1"/>
  <c r="I27" i="7"/>
  <c r="I30" i="7"/>
  <c r="J30" i="7" s="1"/>
  <c r="I43" i="7"/>
  <c r="J43" i="7" s="1"/>
  <c r="I49" i="7"/>
  <c r="J49" i="7" s="1"/>
  <c r="I50" i="7"/>
  <c r="I11" i="7"/>
  <c r="J11" i="7" s="1"/>
  <c r="I12" i="7"/>
  <c r="J12" i="7" s="1"/>
  <c r="I13" i="7"/>
  <c r="J13" i="7" s="1"/>
  <c r="I14" i="7"/>
  <c r="J14" i="7" s="1"/>
  <c r="I15" i="7"/>
  <c r="J15" i="7" s="1"/>
  <c r="I16" i="7"/>
  <c r="J16" i="7" s="1"/>
  <c r="I17" i="7"/>
  <c r="J17" i="7" s="1"/>
  <c r="I18" i="7"/>
  <c r="J18" i="7" s="1"/>
  <c r="I19" i="7"/>
  <c r="J19" i="7" s="1"/>
  <c r="I9" i="7"/>
  <c r="I10" i="7" s="1"/>
  <c r="I58" i="7"/>
  <c r="I60" i="7"/>
  <c r="I61" i="7"/>
  <c r="I62" i="7" s="1"/>
  <c r="I64" i="7"/>
  <c r="I66" i="7"/>
  <c r="I68" i="7"/>
  <c r="I69" i="7"/>
  <c r="I70" i="7" s="1"/>
  <c r="I72" i="7"/>
  <c r="I74" i="7"/>
  <c r="I76" i="7"/>
  <c r="I77" i="7"/>
  <c r="I78" i="7" s="1"/>
  <c r="I81" i="7"/>
  <c r="I84" i="7"/>
  <c r="I88" i="7"/>
  <c r="I86" i="7"/>
  <c r="I94" i="7"/>
  <c r="I95" i="7"/>
  <c r="I96" i="7" s="1"/>
  <c r="I99" i="7"/>
  <c r="I246" i="7"/>
  <c r="I247" i="7" s="1"/>
  <c r="I244" i="7"/>
  <c r="I245" i="7" s="1"/>
  <c r="I248" i="7"/>
  <c r="J248" i="7" s="1"/>
  <c r="J249" i="7" s="1"/>
  <c r="I250" i="7"/>
  <c r="I251" i="7" s="1"/>
  <c r="I240" i="7"/>
  <c r="I242" i="7"/>
  <c r="I237" i="7"/>
  <c r="I234" i="7"/>
  <c r="I227" i="7"/>
  <c r="I219" i="7"/>
  <c r="I222" i="7"/>
  <c r="I224" i="7"/>
  <c r="I210" i="7"/>
  <c r="I214" i="7"/>
  <c r="I106" i="7"/>
  <c r="I108" i="7"/>
  <c r="I112" i="7"/>
  <c r="I116" i="7"/>
  <c r="I118" i="7"/>
  <c r="I121" i="7"/>
  <c r="I124" i="7"/>
  <c r="I131" i="7"/>
  <c r="I133" i="7"/>
  <c r="I135" i="7"/>
  <c r="I138" i="7"/>
  <c r="I140" i="7"/>
  <c r="I142" i="7"/>
  <c r="I147" i="7"/>
  <c r="I151" i="7"/>
  <c r="I153" i="7"/>
  <c r="I155" i="7"/>
  <c r="I157" i="7"/>
  <c r="I160" i="7"/>
  <c r="I165" i="7"/>
  <c r="I169" i="7"/>
  <c r="I163" i="7"/>
  <c r="I173" i="7"/>
  <c r="I177" i="7"/>
  <c r="I183" i="7"/>
  <c r="I181" i="7"/>
  <c r="I188" i="7"/>
  <c r="I191" i="7"/>
  <c r="I194" i="7"/>
  <c r="I197" i="7"/>
  <c r="I198" i="7" s="1"/>
  <c r="I202" i="7"/>
  <c r="I206" i="7"/>
  <c r="I196" i="7"/>
  <c r="I264" i="7"/>
  <c r="I265" i="7"/>
  <c r="I266" i="7" s="1"/>
  <c r="I269" i="7"/>
  <c r="I273" i="7"/>
  <c r="I256" i="7"/>
  <c r="I258" i="7"/>
  <c r="I260" i="7"/>
  <c r="J27" i="7"/>
  <c r="J50" i="7"/>
  <c r="J58" i="7"/>
  <c r="J60" i="7"/>
  <c r="J64" i="7"/>
  <c r="J65" i="7"/>
  <c r="J66" i="7" s="1"/>
  <c r="J68" i="7"/>
  <c r="J70" i="7"/>
  <c r="J72" i="7"/>
  <c r="J74" i="7"/>
  <c r="J76" i="7"/>
  <c r="J81" i="7"/>
  <c r="J84" i="7"/>
  <c r="J88" i="7"/>
  <c r="J86" i="7"/>
  <c r="J94" i="7"/>
  <c r="J99" i="7"/>
  <c r="J244" i="7"/>
  <c r="J245" i="7" s="1"/>
  <c r="J250" i="7"/>
  <c r="J251" i="7" s="1"/>
  <c r="J240" i="7"/>
  <c r="J242" i="7"/>
  <c r="J243" i="7" s="1"/>
  <c r="J237" i="7"/>
  <c r="J234" i="7"/>
  <c r="J227" i="7"/>
  <c r="J219" i="7"/>
  <c r="J222" i="7"/>
  <c r="J224" i="7"/>
  <c r="J210" i="7"/>
  <c r="J214" i="7"/>
  <c r="J215" i="7" s="1"/>
  <c r="J106" i="7"/>
  <c r="J108" i="7"/>
  <c r="J112" i="7"/>
  <c r="J116" i="7"/>
  <c r="J118" i="7"/>
  <c r="J121" i="7"/>
  <c r="J124" i="7"/>
  <c r="J131" i="7"/>
  <c r="J133" i="7"/>
  <c r="J135" i="7"/>
  <c r="J138" i="7"/>
  <c r="J140" i="7"/>
  <c r="J142" i="7"/>
  <c r="J147" i="7"/>
  <c r="J151" i="7"/>
  <c r="J153" i="7"/>
  <c r="J155" i="7"/>
  <c r="J157" i="7"/>
  <c r="J160" i="7"/>
  <c r="J165" i="7"/>
  <c r="J169" i="7"/>
  <c r="J163" i="7"/>
  <c r="J173" i="7"/>
  <c r="J177" i="7"/>
  <c r="J183" i="7"/>
  <c r="J181" i="7"/>
  <c r="J188" i="7"/>
  <c r="J191" i="7"/>
  <c r="J194" i="7"/>
  <c r="J202" i="7"/>
  <c r="J206" i="7"/>
  <c r="J196" i="7"/>
  <c r="J264" i="7"/>
  <c r="J269" i="7"/>
  <c r="J273" i="7"/>
  <c r="J256" i="7"/>
  <c r="J258" i="7"/>
  <c r="J260" i="7"/>
  <c r="H278" i="7"/>
  <c r="C5" i="10" s="1"/>
  <c r="H279" i="7"/>
  <c r="C6" i="10" s="1"/>
  <c r="H280" i="7"/>
  <c r="C7" i="10" s="1"/>
  <c r="H281" i="7"/>
  <c r="C8" i="10" s="1"/>
  <c r="H282" i="7"/>
  <c r="C9" i="10" s="1"/>
  <c r="H283" i="7"/>
  <c r="C10" i="10" s="1"/>
  <c r="H284" i="7"/>
  <c r="C11" i="10" s="1"/>
  <c r="H285" i="7"/>
  <c r="C12" i="10" s="1"/>
  <c r="H286" i="7"/>
  <c r="C13" i="10" s="1"/>
  <c r="H287" i="7"/>
  <c r="C14" i="10" s="1"/>
  <c r="I278" i="7"/>
  <c r="D5" i="10" s="1"/>
  <c r="I279" i="7"/>
  <c r="D6" i="10" s="1"/>
  <c r="I280" i="7"/>
  <c r="D7" i="10" s="1"/>
  <c r="I281" i="7"/>
  <c r="D8" i="10" s="1"/>
  <c r="I282" i="7"/>
  <c r="D9" i="10" s="1"/>
  <c r="I283" i="7"/>
  <c r="D10" i="10" s="1"/>
  <c r="I284" i="7"/>
  <c r="D11" i="10" s="1"/>
  <c r="I285" i="7"/>
  <c r="D12" i="10" s="1"/>
  <c r="I286" i="7"/>
  <c r="D13" i="10" s="1"/>
  <c r="I287" i="7"/>
  <c r="D14" i="10" s="1"/>
  <c r="J278" i="7"/>
  <c r="E5" i="10" s="1"/>
  <c r="J279" i="7"/>
  <c r="E6" i="10" s="1"/>
  <c r="J280" i="7"/>
  <c r="E7" i="10" s="1"/>
  <c r="J282" i="7"/>
  <c r="E9" i="10" s="1"/>
  <c r="J283" i="7"/>
  <c r="E10" i="10" s="1"/>
  <c r="J284" i="7"/>
  <c r="E11" i="10" s="1"/>
  <c r="J285" i="7"/>
  <c r="E12" i="10" s="1"/>
  <c r="J286" i="7"/>
  <c r="E13" i="10" s="1"/>
  <c r="B9" i="43"/>
  <c r="B10" i="43"/>
  <c r="B11" i="43"/>
  <c r="B12" i="43"/>
  <c r="B13" i="43"/>
  <c r="B14" i="43"/>
  <c r="B15" i="43"/>
  <c r="B16" i="43"/>
  <c r="B17" i="43"/>
  <c r="B18" i="43"/>
  <c r="B19" i="43"/>
  <c r="B7" i="43"/>
  <c r="J91" i="7"/>
  <c r="I91" i="7"/>
  <c r="L51" i="7"/>
  <c r="L43" i="7"/>
  <c r="N16" i="7"/>
  <c r="M16" i="7"/>
  <c r="L16" i="7"/>
  <c r="N14" i="7"/>
  <c r="M14" i="7"/>
  <c r="L14" i="7"/>
  <c r="N11" i="7"/>
  <c r="M11" i="7"/>
  <c r="L11" i="7"/>
  <c r="R274" i="7"/>
  <c r="I128" i="34"/>
  <c r="J128" i="34"/>
  <c r="H128" i="34"/>
  <c r="I131" i="34"/>
  <c r="J131" i="34"/>
  <c r="H129" i="34"/>
  <c r="H131" i="34"/>
  <c r="H125" i="34"/>
  <c r="H132" i="34" s="1"/>
  <c r="H119" i="34"/>
  <c r="H116" i="34"/>
  <c r="H121" i="34"/>
  <c r="H122" i="34" s="1"/>
  <c r="H123" i="34" s="1"/>
  <c r="H9" i="34"/>
  <c r="H11" i="34"/>
  <c r="H35" i="34" s="1"/>
  <c r="H36" i="34" s="1"/>
  <c r="H15" i="34"/>
  <c r="H20" i="34"/>
  <c r="H22" i="34"/>
  <c r="H30" i="34"/>
  <c r="H34" i="34"/>
  <c r="H42" i="34"/>
  <c r="H44" i="34"/>
  <c r="H80" i="34" s="1"/>
  <c r="H81" i="34" s="1"/>
  <c r="H46" i="34"/>
  <c r="H50" i="34"/>
  <c r="H54" i="34"/>
  <c r="H56" i="34"/>
  <c r="H58" i="34"/>
  <c r="H61" i="34"/>
  <c r="H63" i="34"/>
  <c r="H67" i="34"/>
  <c r="H69" i="34"/>
  <c r="H71" i="34"/>
  <c r="H73" i="34"/>
  <c r="H75" i="34"/>
  <c r="H77" i="34"/>
  <c r="H79" i="34"/>
  <c r="H101" i="34"/>
  <c r="H102" i="34" s="1"/>
  <c r="H99" i="34"/>
  <c r="H94" i="34"/>
  <c r="H97" i="34" s="1"/>
  <c r="H96" i="34"/>
  <c r="H84" i="34"/>
  <c r="H92" i="34" s="1"/>
  <c r="H91" i="34"/>
  <c r="H86" i="34"/>
  <c r="H107" i="34"/>
  <c r="H108" i="34" s="1"/>
  <c r="H109" i="34" s="1"/>
  <c r="H105" i="34"/>
  <c r="H110" i="34"/>
  <c r="H111" i="34" s="1"/>
  <c r="H112" i="34" s="1"/>
  <c r="H113" i="34" s="1"/>
  <c r="I34" i="34"/>
  <c r="J34" i="34"/>
  <c r="I121" i="34"/>
  <c r="J121" i="34"/>
  <c r="I117" i="34"/>
  <c r="I119" i="34" s="1"/>
  <c r="I122" i="34" s="1"/>
  <c r="I123" i="34" s="1"/>
  <c r="I116" i="34"/>
  <c r="J117" i="34"/>
  <c r="J119" i="34" s="1"/>
  <c r="J122" i="34" s="1"/>
  <c r="J123" i="34" s="1"/>
  <c r="J116" i="34"/>
  <c r="I9" i="49"/>
  <c r="I26" i="49"/>
  <c r="I27" i="49" s="1"/>
  <c r="I28" i="49"/>
  <c r="I29" i="49" s="1"/>
  <c r="I30" i="49"/>
  <c r="I31" i="49" s="1"/>
  <c r="I8" i="49"/>
  <c r="I10" i="49" s="1"/>
  <c r="H11" i="49"/>
  <c r="I11" i="49" s="1"/>
  <c r="I12" i="49" s="1"/>
  <c r="I13" i="49"/>
  <c r="H15" i="49"/>
  <c r="I15" i="49" s="1"/>
  <c r="I17" i="49"/>
  <c r="I18" i="49"/>
  <c r="I19" i="49"/>
  <c r="H21" i="49"/>
  <c r="I21" i="49"/>
  <c r="I22" i="49" s="1"/>
  <c r="I23" i="49"/>
  <c r="I32" i="49"/>
  <c r="I33" i="49"/>
  <c r="J33" i="49" s="1"/>
  <c r="I34" i="49"/>
  <c r="J34" i="49" s="1"/>
  <c r="I35" i="49"/>
  <c r="I36" i="49"/>
  <c r="I37" i="49"/>
  <c r="J37" i="49" s="1"/>
  <c r="I38" i="49"/>
  <c r="J38" i="49" s="1"/>
  <c r="I39" i="49"/>
  <c r="I40" i="49"/>
  <c r="I41" i="49"/>
  <c r="J41" i="49" s="1"/>
  <c r="I42" i="49"/>
  <c r="J42" i="49" s="1"/>
  <c r="I43" i="49"/>
  <c r="I44" i="49"/>
  <c r="I45" i="49"/>
  <c r="J45" i="49" s="1"/>
  <c r="I46" i="49"/>
  <c r="J46" i="49" s="1"/>
  <c r="I47" i="49"/>
  <c r="I48" i="49"/>
  <c r="I49" i="49"/>
  <c r="I50" i="49"/>
  <c r="J50" i="49" s="1"/>
  <c r="I51" i="49"/>
  <c r="I52" i="49"/>
  <c r="J52" i="49" s="1"/>
  <c r="I53" i="49"/>
  <c r="J53" i="49" s="1"/>
  <c r="I54" i="49"/>
  <c r="J54" i="49" s="1"/>
  <c r="I56" i="49"/>
  <c r="I57" i="49" s="1"/>
  <c r="I58" i="49"/>
  <c r="I59" i="49" s="1"/>
  <c r="I61" i="49"/>
  <c r="I65" i="49"/>
  <c r="I66" i="49"/>
  <c r="I67" i="49"/>
  <c r="J67" i="49" s="1"/>
  <c r="H69" i="49"/>
  <c r="H78" i="49" s="1"/>
  <c r="I79" i="49"/>
  <c r="I80" i="49"/>
  <c r="J80" i="49" s="1"/>
  <c r="I82" i="49"/>
  <c r="I83" i="49" s="1"/>
  <c r="I85" i="49"/>
  <c r="I87" i="49" s="1"/>
  <c r="I88" i="49"/>
  <c r="I89" i="49" s="1"/>
  <c r="I90" i="49"/>
  <c r="I92" i="49"/>
  <c r="J92" i="49" s="1"/>
  <c r="I96" i="49"/>
  <c r="I98" i="49"/>
  <c r="I99" i="49" s="1"/>
  <c r="I102" i="49"/>
  <c r="I105" i="49"/>
  <c r="I107" i="49"/>
  <c r="I110" i="49" s="1"/>
  <c r="I114" i="49" s="1"/>
  <c r="I108" i="49"/>
  <c r="I115" i="49"/>
  <c r="I116" i="49"/>
  <c r="J116" i="49" s="1"/>
  <c r="I119" i="49"/>
  <c r="I120" i="49" s="1"/>
  <c r="I121" i="49" s="1"/>
  <c r="I123" i="49"/>
  <c r="I124" i="49" s="1"/>
  <c r="I127" i="49"/>
  <c r="I128" i="49"/>
  <c r="J128" i="49" s="1"/>
  <c r="J129" i="49" s="1"/>
  <c r="I129" i="49"/>
  <c r="I130" i="49"/>
  <c r="I133" i="49"/>
  <c r="J133" i="49" s="1"/>
  <c r="J134" i="49" s="1"/>
  <c r="I137" i="49"/>
  <c r="J137" i="49" s="1"/>
  <c r="J138" i="49" s="1"/>
  <c r="I139" i="49"/>
  <c r="I140" i="49" s="1"/>
  <c r="I142" i="49"/>
  <c r="I144" i="49" s="1"/>
  <c r="I145" i="49" s="1"/>
  <c r="I147" i="49"/>
  <c r="I148" i="49" s="1"/>
  <c r="I149" i="49"/>
  <c r="I151" i="49" s="1"/>
  <c r="I154" i="49"/>
  <c r="J9" i="49"/>
  <c r="J26" i="49"/>
  <c r="J27" i="49" s="1"/>
  <c r="J8" i="49"/>
  <c r="J17" i="49"/>
  <c r="J18" i="49" s="1"/>
  <c r="J32" i="49"/>
  <c r="J35" i="49"/>
  <c r="J36" i="49"/>
  <c r="J39" i="49"/>
  <c r="J40" i="49"/>
  <c r="J43" i="49"/>
  <c r="J44" i="49"/>
  <c r="J47" i="49"/>
  <c r="J48" i="49"/>
  <c r="J49" i="49"/>
  <c r="J51" i="49"/>
  <c r="J56" i="49"/>
  <c r="J57" i="49" s="1"/>
  <c r="J58" i="49"/>
  <c r="J59" i="49" s="1"/>
  <c r="J66" i="49"/>
  <c r="J79" i="49"/>
  <c r="J102" i="49"/>
  <c r="J105" i="49"/>
  <c r="J107" i="49"/>
  <c r="J110" i="49" s="1"/>
  <c r="J114" i="49" s="1"/>
  <c r="J108" i="49"/>
  <c r="J119" i="49"/>
  <c r="J120" i="49" s="1"/>
  <c r="J121" i="49" s="1"/>
  <c r="J127" i="49"/>
  <c r="J154" i="49"/>
  <c r="I161" i="49"/>
  <c r="D6" i="45" s="1"/>
  <c r="J161" i="49"/>
  <c r="E6" i="45" s="1"/>
  <c r="I162" i="49"/>
  <c r="D7" i="45" s="1"/>
  <c r="J162" i="49"/>
  <c r="E7" i="45" s="1"/>
  <c r="I163" i="49"/>
  <c r="D8" i="45" s="1"/>
  <c r="J163" i="49"/>
  <c r="E8" i="45" s="1"/>
  <c r="I164" i="49"/>
  <c r="D9" i="45" s="1"/>
  <c r="J164" i="49"/>
  <c r="E9" i="45" s="1"/>
  <c r="I166" i="49"/>
  <c r="D11" i="45" s="1"/>
  <c r="J166" i="49"/>
  <c r="E11" i="45" s="1"/>
  <c r="I167" i="49"/>
  <c r="D12" i="45" s="1"/>
  <c r="J167" i="49"/>
  <c r="E12" i="45" s="1"/>
  <c r="I168" i="49"/>
  <c r="D13" i="45" s="1"/>
  <c r="J168" i="49"/>
  <c r="E13" i="45" s="1"/>
  <c r="H160" i="49"/>
  <c r="C5" i="45" s="1"/>
  <c r="H161" i="49"/>
  <c r="C6" i="45" s="1"/>
  <c r="H162" i="49"/>
  <c r="C7" i="45" s="1"/>
  <c r="H163" i="49"/>
  <c r="C8" i="45" s="1"/>
  <c r="H164" i="49"/>
  <c r="C9" i="45" s="1"/>
  <c r="H166" i="49"/>
  <c r="C11" i="45" s="1"/>
  <c r="H167" i="49"/>
  <c r="C12" i="45" s="1"/>
  <c r="H168" i="49"/>
  <c r="C13" i="45" s="1"/>
  <c r="H169" i="49"/>
  <c r="C14" i="45" s="1"/>
  <c r="H148" i="49"/>
  <c r="H151" i="49"/>
  <c r="H154" i="49"/>
  <c r="H144" i="49"/>
  <c r="H145" i="49" s="1"/>
  <c r="H138" i="49"/>
  <c r="H141" i="49" s="1"/>
  <c r="H134" i="49"/>
  <c r="H132" i="49"/>
  <c r="H129" i="49"/>
  <c r="H124" i="49"/>
  <c r="H127" i="49"/>
  <c r="H83" i="49"/>
  <c r="H81" i="49"/>
  <c r="H84" i="49" s="1"/>
  <c r="H99" i="49"/>
  <c r="H97" i="49"/>
  <c r="H95" i="49"/>
  <c r="H89" i="49"/>
  <c r="H87" i="49"/>
  <c r="H102" i="49"/>
  <c r="H105" i="49"/>
  <c r="H110" i="49"/>
  <c r="H114" i="49" s="1"/>
  <c r="H117" i="49"/>
  <c r="H118" i="49" s="1"/>
  <c r="H120" i="49"/>
  <c r="H121" i="49" s="1"/>
  <c r="H10" i="49"/>
  <c r="H12" i="49"/>
  <c r="H14" i="49"/>
  <c r="H18" i="49"/>
  <c r="H20" i="49"/>
  <c r="H22" i="49"/>
  <c r="H24" i="49"/>
  <c r="H55" i="49"/>
  <c r="H31" i="49"/>
  <c r="H29" i="49"/>
  <c r="H27" i="49"/>
  <c r="H57" i="49"/>
  <c r="H59" i="49"/>
  <c r="H62" i="49"/>
  <c r="H63" i="49" s="1"/>
  <c r="H140" i="49"/>
  <c r="L61" i="49"/>
  <c r="N55" i="49"/>
  <c r="M55" i="49"/>
  <c r="L55" i="49"/>
  <c r="H9" i="28"/>
  <c r="H15" i="28"/>
  <c r="H21" i="28"/>
  <c r="H24" i="28"/>
  <c r="H28" i="28"/>
  <c r="H11" i="28"/>
  <c r="I54" i="28"/>
  <c r="J54" i="28" s="1"/>
  <c r="L24" i="13"/>
  <c r="L23" i="13"/>
  <c r="L22" i="13"/>
  <c r="L21" i="13"/>
  <c r="L20" i="13"/>
  <c r="L19" i="13"/>
  <c r="M69" i="4"/>
  <c r="N69" i="4"/>
  <c r="M70" i="4"/>
  <c r="N70" i="4"/>
  <c r="M71" i="4"/>
  <c r="N71" i="4"/>
  <c r="M72" i="4"/>
  <c r="N72" i="4"/>
  <c r="M73" i="4"/>
  <c r="N73" i="4"/>
  <c r="M74" i="4"/>
  <c r="N74" i="4"/>
  <c r="L69" i="4"/>
  <c r="L76" i="4"/>
  <c r="N60" i="4"/>
  <c r="M60" i="4"/>
  <c r="L60" i="4"/>
  <c r="N58" i="4"/>
  <c r="M58" i="4"/>
  <c r="L58" i="4"/>
  <c r="N56" i="4"/>
  <c r="M56" i="4"/>
  <c r="L56" i="4"/>
  <c r="N54" i="4"/>
  <c r="M54" i="4"/>
  <c r="L54" i="4"/>
  <c r="N52" i="4"/>
  <c r="M52" i="4"/>
  <c r="L52" i="4"/>
  <c r="N50" i="4"/>
  <c r="M50" i="4"/>
  <c r="L50" i="4"/>
  <c r="N48" i="4"/>
  <c r="M48" i="4"/>
  <c r="L48" i="4"/>
  <c r="N46" i="4"/>
  <c r="M46" i="4"/>
  <c r="L46" i="4"/>
  <c r="N44" i="4"/>
  <c r="M44" i="4"/>
  <c r="L44" i="4"/>
  <c r="N42" i="4"/>
  <c r="M42" i="4"/>
  <c r="L42" i="4"/>
  <c r="N40" i="4"/>
  <c r="M40" i="4"/>
  <c r="L40" i="4"/>
  <c r="N38" i="4"/>
  <c r="M38" i="4"/>
  <c r="L38" i="4"/>
  <c r="N36" i="4"/>
  <c r="M36" i="4"/>
  <c r="L36" i="4"/>
  <c r="N34" i="4"/>
  <c r="M34" i="4"/>
  <c r="L34" i="4"/>
  <c r="N32" i="4"/>
  <c r="M32" i="4"/>
  <c r="L32" i="4"/>
  <c r="N30" i="4"/>
  <c r="M30" i="4"/>
  <c r="L30" i="4"/>
  <c r="N28" i="4"/>
  <c r="M28" i="4"/>
  <c r="L28" i="4"/>
  <c r="N27" i="4"/>
  <c r="M27" i="4"/>
  <c r="L27" i="4"/>
  <c r="I93" i="34"/>
  <c r="I94" i="34"/>
  <c r="I95" i="34"/>
  <c r="J93" i="34"/>
  <c r="J94" i="34"/>
  <c r="I87" i="34"/>
  <c r="I82" i="34"/>
  <c r="I85" i="34"/>
  <c r="I86" i="34"/>
  <c r="J85" i="34"/>
  <c r="J86" i="34"/>
  <c r="I106" i="34"/>
  <c r="I107" i="34" s="1"/>
  <c r="I104" i="34"/>
  <c r="I105" i="34"/>
  <c r="J104" i="34"/>
  <c r="J105" i="34" s="1"/>
  <c r="I37" i="34"/>
  <c r="I42" i="34"/>
  <c r="I43" i="34"/>
  <c r="I44" i="34" s="1"/>
  <c r="I45" i="34"/>
  <c r="I46" i="34"/>
  <c r="I47" i="34"/>
  <c r="I50" i="34" s="1"/>
  <c r="I51" i="34"/>
  <c r="I54" i="34"/>
  <c r="I55" i="34"/>
  <c r="I56" i="34" s="1"/>
  <c r="I57" i="34"/>
  <c r="I58" i="34"/>
  <c r="I59" i="34"/>
  <c r="I61" i="34" s="1"/>
  <c r="I62" i="34"/>
  <c r="I63" i="34"/>
  <c r="I64" i="34"/>
  <c r="I67" i="34" s="1"/>
  <c r="I68" i="34"/>
  <c r="I69" i="34"/>
  <c r="I70" i="34"/>
  <c r="I71" i="34" s="1"/>
  <c r="I72" i="34"/>
  <c r="I73" i="34"/>
  <c r="I74" i="34"/>
  <c r="I75" i="34" s="1"/>
  <c r="I76" i="34"/>
  <c r="I77" i="34"/>
  <c r="I78" i="34"/>
  <c r="I79" i="34" s="1"/>
  <c r="J37" i="34"/>
  <c r="J42" i="34" s="1"/>
  <c r="J45" i="34"/>
  <c r="J46" i="34" s="1"/>
  <c r="J51" i="34"/>
  <c r="J54" i="34" s="1"/>
  <c r="J57" i="34"/>
  <c r="J58" i="34" s="1"/>
  <c r="J62" i="34"/>
  <c r="J63" i="34" s="1"/>
  <c r="J68" i="34"/>
  <c r="J69" i="34" s="1"/>
  <c r="J72" i="34"/>
  <c r="J73" i="34" s="1"/>
  <c r="J76" i="34"/>
  <c r="J77" i="34" s="1"/>
  <c r="I38" i="28"/>
  <c r="I39" i="28" s="1"/>
  <c r="I40" i="28"/>
  <c r="J40" i="28" s="1"/>
  <c r="I43" i="28"/>
  <c r="J43" i="28"/>
  <c r="H39" i="28"/>
  <c r="H41" i="28"/>
  <c r="H43" i="28"/>
  <c r="I8" i="28"/>
  <c r="I9" i="28" s="1"/>
  <c r="I12" i="28"/>
  <c r="I16" i="28"/>
  <c r="I21" i="28" s="1"/>
  <c r="I22" i="28"/>
  <c r="I24" i="28" s="1"/>
  <c r="I28" i="28"/>
  <c r="I10" i="28"/>
  <c r="I11" i="28" s="1"/>
  <c r="J8" i="28"/>
  <c r="J9" i="28" s="1"/>
  <c r="J28" i="28"/>
  <c r="J10" i="28"/>
  <c r="J11" i="28" s="1"/>
  <c r="H32" i="28"/>
  <c r="H33" i="28" s="1"/>
  <c r="H36" i="28"/>
  <c r="H37" i="28" s="1"/>
  <c r="H47" i="28"/>
  <c r="H50" i="28"/>
  <c r="H52" i="28"/>
  <c r="H62" i="28"/>
  <c r="H56" i="28"/>
  <c r="H58" i="28" s="1"/>
  <c r="H55" i="28"/>
  <c r="I46" i="28"/>
  <c r="J46" i="28" s="1"/>
  <c r="I48" i="28"/>
  <c r="J48" i="28" s="1"/>
  <c r="J50" i="28" s="1"/>
  <c r="I52" i="28"/>
  <c r="I61" i="28"/>
  <c r="I58" i="28"/>
  <c r="I55" i="28"/>
  <c r="J52" i="28"/>
  <c r="J58" i="28"/>
  <c r="I30" i="28"/>
  <c r="I32" i="28" s="1"/>
  <c r="I33" i="28" s="1"/>
  <c r="I34" i="28"/>
  <c r="I36" i="28" s="1"/>
  <c r="I37" i="28" s="1"/>
  <c r="J30" i="28"/>
  <c r="J32" i="28" s="1"/>
  <c r="J33" i="28" s="1"/>
  <c r="I36" i="23"/>
  <c r="I37" i="23"/>
  <c r="I30" i="23"/>
  <c r="I26" i="23"/>
  <c r="I20" i="23"/>
  <c r="I23" i="23"/>
  <c r="I18" i="23"/>
  <c r="I19" i="23" s="1"/>
  <c r="I27" i="23"/>
  <c r="I29" i="23"/>
  <c r="I32" i="23"/>
  <c r="I33" i="23" s="1"/>
  <c r="I34" i="23"/>
  <c r="I35" i="23"/>
  <c r="J36" i="23"/>
  <c r="J37" i="23"/>
  <c r="J30" i="23"/>
  <c r="J26" i="23"/>
  <c r="J20" i="23"/>
  <c r="J23" i="23"/>
  <c r="J18" i="23"/>
  <c r="J19" i="23" s="1"/>
  <c r="J27" i="23"/>
  <c r="J29" i="23"/>
  <c r="J32" i="23"/>
  <c r="J33" i="23" s="1"/>
  <c r="J34" i="23"/>
  <c r="J35" i="23"/>
  <c r="H37" i="23"/>
  <c r="H31" i="23"/>
  <c r="H26" i="23"/>
  <c r="H23" i="23"/>
  <c r="H19" i="23"/>
  <c r="H29" i="23"/>
  <c r="H33" i="23"/>
  <c r="H35" i="23"/>
  <c r="H42" i="23"/>
  <c r="I8" i="23"/>
  <c r="I10" i="23" s="1"/>
  <c r="I11" i="23" s="1"/>
  <c r="I12" i="23"/>
  <c r="J12" i="23" s="1"/>
  <c r="J15" i="23" s="1"/>
  <c r="J16" i="23" s="1"/>
  <c r="I15" i="23"/>
  <c r="I16" i="23" s="1"/>
  <c r="I42" i="23"/>
  <c r="I44" i="23"/>
  <c r="I45" i="23"/>
  <c r="I46" i="23"/>
  <c r="I47" i="23"/>
  <c r="I48" i="23"/>
  <c r="I49" i="23"/>
  <c r="I50" i="23"/>
  <c r="I51" i="23"/>
  <c r="I52" i="23"/>
  <c r="J8" i="23"/>
  <c r="J10" i="23" s="1"/>
  <c r="J11" i="23" s="1"/>
  <c r="J17" i="23" s="1"/>
  <c r="J42" i="23"/>
  <c r="J44" i="23"/>
  <c r="J45" i="23"/>
  <c r="J46" i="23"/>
  <c r="J47" i="23"/>
  <c r="J48" i="23"/>
  <c r="J49" i="23"/>
  <c r="J50" i="23"/>
  <c r="J51" i="23"/>
  <c r="J52" i="23"/>
  <c r="H43" i="23"/>
  <c r="H44" i="23"/>
  <c r="H45" i="23"/>
  <c r="H46" i="23"/>
  <c r="H53" i="23" s="1"/>
  <c r="H47" i="23"/>
  <c r="H48" i="23"/>
  <c r="H49" i="23"/>
  <c r="H50" i="23"/>
  <c r="H51" i="23"/>
  <c r="H52" i="23"/>
  <c r="H10" i="23"/>
  <c r="H11" i="23" s="1"/>
  <c r="H17" i="23" s="1"/>
  <c r="H15" i="23"/>
  <c r="H16" i="23"/>
  <c r="B3" i="35"/>
  <c r="B3" i="10"/>
  <c r="B3" i="31"/>
  <c r="B3" i="26"/>
  <c r="B3" i="21"/>
  <c r="B3" i="16"/>
  <c r="B3" i="45"/>
  <c r="B3" i="11"/>
  <c r="I29" i="18"/>
  <c r="I31" i="18"/>
  <c r="J29" i="18"/>
  <c r="J31" i="18"/>
  <c r="J32" i="18"/>
  <c r="H29" i="18"/>
  <c r="H31" i="18"/>
  <c r="H32" i="18"/>
  <c r="I12" i="18"/>
  <c r="I13" i="18" s="1"/>
  <c r="J12" i="18"/>
  <c r="J13" i="18"/>
  <c r="H12" i="18"/>
  <c r="H13" i="18" s="1"/>
  <c r="I24" i="18"/>
  <c r="J24" i="18" s="1"/>
  <c r="J26" i="18" s="1"/>
  <c r="J27" i="18" s="1"/>
  <c r="I26" i="18"/>
  <c r="I27" i="18" s="1"/>
  <c r="I17" i="18"/>
  <c r="I18" i="18"/>
  <c r="I19" i="18"/>
  <c r="J19" i="18" s="1"/>
  <c r="I21" i="18"/>
  <c r="I22" i="18"/>
  <c r="J17" i="18"/>
  <c r="J18" i="18" s="1"/>
  <c r="J33" i="18" s="1"/>
  <c r="J20" i="18"/>
  <c r="J23" i="18" s="1"/>
  <c r="J21" i="18"/>
  <c r="J22" i="18" s="1"/>
  <c r="H26" i="18"/>
  <c r="H27" i="18" s="1"/>
  <c r="H17" i="18"/>
  <c r="H18" i="18"/>
  <c r="H20" i="18"/>
  <c r="H23" i="18" s="1"/>
  <c r="H22" i="18"/>
  <c r="H33" i="18"/>
  <c r="H196" i="4"/>
  <c r="H29" i="4"/>
  <c r="H33" i="4"/>
  <c r="H186" i="4" s="1"/>
  <c r="C4" i="11" s="1"/>
  <c r="H26" i="4"/>
  <c r="H35" i="4"/>
  <c r="H37" i="4"/>
  <c r="I37" i="4" s="1"/>
  <c r="H39" i="4"/>
  <c r="I39" i="4" s="1"/>
  <c r="J39" i="4" s="1"/>
  <c r="H41" i="4"/>
  <c r="I41" i="4" s="1"/>
  <c r="H43" i="4"/>
  <c r="H45" i="4"/>
  <c r="I45" i="4" s="1"/>
  <c r="H47" i="4"/>
  <c r="H49" i="4"/>
  <c r="I49" i="4" s="1"/>
  <c r="H51" i="4"/>
  <c r="H55" i="4"/>
  <c r="H57" i="4"/>
  <c r="I57" i="4" s="1"/>
  <c r="J57" i="4" s="1"/>
  <c r="H59" i="4"/>
  <c r="I59" i="4" s="1"/>
  <c r="J59" i="4" s="1"/>
  <c r="H61" i="4"/>
  <c r="H64" i="4"/>
  <c r="H66" i="4"/>
  <c r="H76" i="4"/>
  <c r="H77" i="4"/>
  <c r="H79" i="4"/>
  <c r="I79" i="4" s="1"/>
  <c r="J79" i="4" s="1"/>
  <c r="H81" i="4"/>
  <c r="I81" i="4" s="1"/>
  <c r="J81" i="4" s="1"/>
  <c r="H83" i="4"/>
  <c r="I85" i="4"/>
  <c r="H87" i="4"/>
  <c r="H89" i="4"/>
  <c r="I89" i="4" s="1"/>
  <c r="J89" i="4" s="1"/>
  <c r="H96" i="4"/>
  <c r="H99" i="4"/>
  <c r="H101" i="4"/>
  <c r="H103" i="4"/>
  <c r="H105" i="4"/>
  <c r="H107" i="4"/>
  <c r="H109" i="4"/>
  <c r="H111" i="4"/>
  <c r="H113" i="4"/>
  <c r="H115" i="4"/>
  <c r="H119" i="4"/>
  <c r="H128" i="4" s="1"/>
  <c r="H120" i="4"/>
  <c r="H124" i="4" s="1"/>
  <c r="H127" i="4"/>
  <c r="H133" i="4"/>
  <c r="H136" i="4" s="1"/>
  <c r="H135" i="4"/>
  <c r="H137" i="4"/>
  <c r="H142" i="4"/>
  <c r="H143" i="4"/>
  <c r="H144" i="4"/>
  <c r="H149" i="4"/>
  <c r="H150" i="4"/>
  <c r="H151" i="4"/>
  <c r="H153" i="4" s="1"/>
  <c r="H154" i="4" s="1"/>
  <c r="H155" i="4"/>
  <c r="H158" i="4" s="1"/>
  <c r="H159" i="4" s="1"/>
  <c r="H156" i="4"/>
  <c r="I156" i="4" s="1"/>
  <c r="H161" i="4"/>
  <c r="H162" i="4"/>
  <c r="I162" i="4" s="1"/>
  <c r="J162" i="4" s="1"/>
  <c r="H168" i="4"/>
  <c r="H171" i="4" s="1"/>
  <c r="H178" i="4" s="1"/>
  <c r="H174" i="4"/>
  <c r="H177" i="4"/>
  <c r="H181" i="4"/>
  <c r="H182" i="4" s="1"/>
  <c r="I27" i="4"/>
  <c r="J27" i="4" s="1"/>
  <c r="I29" i="4"/>
  <c r="I31" i="4"/>
  <c r="I35" i="4"/>
  <c r="J35" i="4" s="1"/>
  <c r="I8" i="4"/>
  <c r="I9" i="4"/>
  <c r="I10" i="4"/>
  <c r="J10" i="4" s="1"/>
  <c r="I11" i="4"/>
  <c r="J11" i="4" s="1"/>
  <c r="I12" i="4"/>
  <c r="I13" i="4"/>
  <c r="I14" i="4"/>
  <c r="J14" i="4" s="1"/>
  <c r="I15" i="4"/>
  <c r="J15" i="4" s="1"/>
  <c r="I16" i="4"/>
  <c r="I17" i="4"/>
  <c r="I18" i="4"/>
  <c r="J18" i="4" s="1"/>
  <c r="I19" i="4"/>
  <c r="J19" i="4" s="1"/>
  <c r="I20" i="4"/>
  <c r="I21" i="4"/>
  <c r="I22" i="4"/>
  <c r="J22" i="4" s="1"/>
  <c r="I23" i="4"/>
  <c r="J23" i="4" s="1"/>
  <c r="I24" i="4"/>
  <c r="I25" i="4"/>
  <c r="I28" i="4"/>
  <c r="I196" i="4" s="1"/>
  <c r="D14" i="11" s="1"/>
  <c r="I30" i="4"/>
  <c r="I32" i="4"/>
  <c r="I34" i="4"/>
  <c r="J34" i="4" s="1"/>
  <c r="I36" i="4"/>
  <c r="J36" i="4" s="1"/>
  <c r="I38" i="4"/>
  <c r="I40" i="4"/>
  <c r="J40" i="4" s="1"/>
  <c r="I42" i="4"/>
  <c r="I43" i="4"/>
  <c r="I44" i="4"/>
  <c r="I46" i="4"/>
  <c r="I47" i="4"/>
  <c r="J47" i="4" s="1"/>
  <c r="I48" i="4"/>
  <c r="I50" i="4"/>
  <c r="I51" i="4"/>
  <c r="J51" i="4" s="1"/>
  <c r="I52" i="4"/>
  <c r="J52" i="4" s="1"/>
  <c r="I53" i="4"/>
  <c r="I54" i="4"/>
  <c r="I55" i="4"/>
  <c r="J55" i="4" s="1"/>
  <c r="I56" i="4"/>
  <c r="J56" i="4" s="1"/>
  <c r="I58" i="4"/>
  <c r="I60" i="4"/>
  <c r="J60" i="4" s="1"/>
  <c r="I61" i="4"/>
  <c r="I63" i="4"/>
  <c r="I64" i="4" s="1"/>
  <c r="I66" i="4"/>
  <c r="I69" i="4"/>
  <c r="I70" i="4"/>
  <c r="I71" i="4"/>
  <c r="I72" i="4"/>
  <c r="J72" i="4" s="1"/>
  <c r="I73" i="4"/>
  <c r="I74" i="4"/>
  <c r="I75" i="4"/>
  <c r="I76" i="4"/>
  <c r="I78" i="4"/>
  <c r="I80" i="4"/>
  <c r="I82" i="4"/>
  <c r="I83" i="4"/>
  <c r="J83" i="4" s="1"/>
  <c r="I84" i="4"/>
  <c r="I86" i="4"/>
  <c r="I87" i="4"/>
  <c r="J87" i="4" s="1"/>
  <c r="I88" i="4"/>
  <c r="J88" i="4" s="1"/>
  <c r="I90" i="4"/>
  <c r="I94" i="4"/>
  <c r="I96" i="4" s="1"/>
  <c r="I97" i="4"/>
  <c r="I99" i="4" s="1"/>
  <c r="I100" i="4"/>
  <c r="I101" i="4"/>
  <c r="I102" i="4"/>
  <c r="I103" i="4" s="1"/>
  <c r="I104" i="4"/>
  <c r="I105" i="4"/>
  <c r="I106" i="4"/>
  <c r="I107" i="4" s="1"/>
  <c r="I108" i="4"/>
  <c r="I109" i="4" s="1"/>
  <c r="I110" i="4"/>
  <c r="I111" i="4" s="1"/>
  <c r="I112" i="4"/>
  <c r="I113" i="4" s="1"/>
  <c r="I114" i="4"/>
  <c r="I115" i="4" s="1"/>
  <c r="I117" i="4"/>
  <c r="I119" i="4"/>
  <c r="I128" i="4" s="1"/>
  <c r="I120" i="4"/>
  <c r="I124" i="4" s="1"/>
  <c r="I125" i="4"/>
  <c r="I127" i="4"/>
  <c r="I130" i="4"/>
  <c r="I131" i="4"/>
  <c r="I134" i="4"/>
  <c r="I135" i="4" s="1"/>
  <c r="I137" i="4"/>
  <c r="I139" i="4"/>
  <c r="I142" i="4"/>
  <c r="I143" i="4" s="1"/>
  <c r="I144" i="4"/>
  <c r="I147" i="4"/>
  <c r="I149" i="4"/>
  <c r="I150" i="4" s="1"/>
  <c r="I152" i="4"/>
  <c r="I157" i="4"/>
  <c r="I163" i="4"/>
  <c r="I168" i="4"/>
  <c r="I171" i="4" s="1"/>
  <c r="I178" i="4" s="1"/>
  <c r="I172" i="4"/>
  <c r="I174" i="4" s="1"/>
  <c r="I175" i="4"/>
  <c r="I177" i="4" s="1"/>
  <c r="I179" i="4"/>
  <c r="I181" i="4"/>
  <c r="I182" i="4" s="1"/>
  <c r="I189" i="4"/>
  <c r="D7" i="11" s="1"/>
  <c r="I190" i="4"/>
  <c r="D8" i="11" s="1"/>
  <c r="I191" i="4"/>
  <c r="D9" i="11" s="1"/>
  <c r="I192" i="4"/>
  <c r="D10" i="11" s="1"/>
  <c r="I193" i="4"/>
  <c r="D11" i="11" s="1"/>
  <c r="I194" i="4"/>
  <c r="D12" i="11" s="1"/>
  <c r="I195" i="4"/>
  <c r="J29" i="4"/>
  <c r="J31" i="4"/>
  <c r="J8" i="4"/>
  <c r="J9" i="4"/>
  <c r="J12" i="4"/>
  <c r="J13" i="4"/>
  <c r="J16" i="4"/>
  <c r="J17" i="4"/>
  <c r="J20" i="4"/>
  <c r="J21" i="4"/>
  <c r="J24" i="4"/>
  <c r="J25" i="4"/>
  <c r="J30" i="4"/>
  <c r="J32" i="4"/>
  <c r="J37" i="4"/>
  <c r="J38" i="4"/>
  <c r="J41" i="4"/>
  <c r="J42" i="4"/>
  <c r="J43" i="4"/>
  <c r="J44" i="4"/>
  <c r="J45" i="4"/>
  <c r="J46" i="4"/>
  <c r="J48" i="4"/>
  <c r="J49" i="4"/>
  <c r="J50" i="4"/>
  <c r="J53" i="4"/>
  <c r="J54" i="4"/>
  <c r="J58" i="4"/>
  <c r="J61" i="4"/>
  <c r="J63" i="4"/>
  <c r="J64" i="4" s="1"/>
  <c r="J66" i="4"/>
  <c r="J69" i="4"/>
  <c r="J70" i="4"/>
  <c r="J71" i="4"/>
  <c r="J73" i="4"/>
  <c r="J74" i="4"/>
  <c r="J75" i="4"/>
  <c r="J78" i="4"/>
  <c r="J80" i="4"/>
  <c r="J82" i="4"/>
  <c r="J84" i="4"/>
  <c r="J85" i="4"/>
  <c r="J86" i="4"/>
  <c r="J90" i="4"/>
  <c r="J94" i="4"/>
  <c r="J96" i="4" s="1"/>
  <c r="J97" i="4"/>
  <c r="J99" i="4"/>
  <c r="J100" i="4"/>
  <c r="J101" i="4" s="1"/>
  <c r="J102" i="4"/>
  <c r="J103" i="4"/>
  <c r="J104" i="4"/>
  <c r="J105" i="4" s="1"/>
  <c r="J108" i="4"/>
  <c r="J109" i="4" s="1"/>
  <c r="J114" i="4"/>
  <c r="J115" i="4" s="1"/>
  <c r="J117" i="4"/>
  <c r="J119" i="4"/>
  <c r="J120" i="4"/>
  <c r="J124" i="4" s="1"/>
  <c r="J125" i="4"/>
  <c r="J127" i="4"/>
  <c r="J128" i="4"/>
  <c r="J130" i="4"/>
  <c r="J131" i="4"/>
  <c r="J137" i="4"/>
  <c r="J139" i="4"/>
  <c r="J142" i="4"/>
  <c r="J143" i="4"/>
  <c r="J144" i="4"/>
  <c r="J147" i="4"/>
  <c r="J149" i="4"/>
  <c r="J150" i="4"/>
  <c r="J152" i="4"/>
  <c r="J156" i="4"/>
  <c r="J157" i="4"/>
  <c r="J163" i="4"/>
  <c r="J168" i="4"/>
  <c r="J171" i="4"/>
  <c r="J179" i="4"/>
  <c r="J181" i="4"/>
  <c r="J182" i="4"/>
  <c r="J189" i="4"/>
  <c r="J190" i="4"/>
  <c r="E8" i="11" s="1"/>
  <c r="J191" i="4"/>
  <c r="E9" i="11" s="1"/>
  <c r="J192" i="4"/>
  <c r="E10" i="11" s="1"/>
  <c r="J193" i="4"/>
  <c r="J194" i="4"/>
  <c r="J195" i="4"/>
  <c r="E13" i="11" s="1"/>
  <c r="H188" i="4"/>
  <c r="C6" i="11" s="1"/>
  <c r="H189" i="4"/>
  <c r="C7" i="11" s="1"/>
  <c r="H190" i="4"/>
  <c r="H191" i="4"/>
  <c r="C9" i="11" s="1"/>
  <c r="H192" i="4"/>
  <c r="C10" i="11" s="1"/>
  <c r="H193" i="4"/>
  <c r="C11" i="11" s="1"/>
  <c r="H194" i="4"/>
  <c r="C12" i="11" s="1"/>
  <c r="H195" i="4"/>
  <c r="C13" i="11" s="1"/>
  <c r="I33" i="13"/>
  <c r="I37" i="13"/>
  <c r="I16" i="13"/>
  <c r="I19" i="13"/>
  <c r="I20" i="13"/>
  <c r="I21" i="13"/>
  <c r="I22" i="13"/>
  <c r="I23" i="13"/>
  <c r="I24" i="13"/>
  <c r="I11" i="13"/>
  <c r="I14" i="13"/>
  <c r="I15" i="13"/>
  <c r="I29" i="13"/>
  <c r="I39" i="13"/>
  <c r="I40" i="13"/>
  <c r="J40" i="13" s="1"/>
  <c r="J41" i="13" s="1"/>
  <c r="I41" i="13"/>
  <c r="I8" i="13"/>
  <c r="I9" i="13"/>
  <c r="I10" i="13"/>
  <c r="J33" i="13"/>
  <c r="J37" i="13"/>
  <c r="J16" i="13"/>
  <c r="J19" i="13"/>
  <c r="J20" i="13"/>
  <c r="J25" i="13" s="1"/>
  <c r="J21" i="13"/>
  <c r="J22" i="13"/>
  <c r="J23" i="13"/>
  <c r="J24" i="13"/>
  <c r="J11" i="13"/>
  <c r="J29" i="13"/>
  <c r="J39" i="13"/>
  <c r="J8" i="13"/>
  <c r="J9" i="13" s="1"/>
  <c r="J10" i="13" s="1"/>
  <c r="H33" i="13"/>
  <c r="H37" i="13"/>
  <c r="H25" i="13"/>
  <c r="H15" i="13"/>
  <c r="H29" i="13"/>
  <c r="H39" i="13"/>
  <c r="H41" i="13"/>
  <c r="H9" i="13"/>
  <c r="H10" i="13"/>
  <c r="H47" i="13"/>
  <c r="H46" i="13"/>
  <c r="H48" i="13"/>
  <c r="H49" i="13"/>
  <c r="H50" i="13"/>
  <c r="C8" i="16" s="1"/>
  <c r="H51" i="13"/>
  <c r="H52" i="13"/>
  <c r="H53" i="13"/>
  <c r="H54" i="13"/>
  <c r="C12" i="16" s="1"/>
  <c r="H55" i="13"/>
  <c r="H56" i="13"/>
  <c r="I16" i="34"/>
  <c r="J16" i="34" s="1"/>
  <c r="I110" i="34"/>
  <c r="J110" i="34" s="1"/>
  <c r="J111" i="34" s="1"/>
  <c r="J112" i="34" s="1"/>
  <c r="I12" i="34"/>
  <c r="I124" i="34"/>
  <c r="J124" i="34" s="1"/>
  <c r="J125" i="34" s="1"/>
  <c r="J132" i="34" s="1"/>
  <c r="J133" i="34" s="1"/>
  <c r="I23" i="34"/>
  <c r="I30" i="34" s="1"/>
  <c r="M91" i="4"/>
  <c r="N91" i="4"/>
  <c r="L91" i="4"/>
  <c r="N102" i="4"/>
  <c r="M102" i="4"/>
  <c r="L102" i="4"/>
  <c r="H137" i="34"/>
  <c r="C5" i="35" s="1"/>
  <c r="J46" i="13"/>
  <c r="I46" i="13"/>
  <c r="J23" i="34"/>
  <c r="J30" i="34" s="1"/>
  <c r="I100" i="34"/>
  <c r="J100" i="34" s="1"/>
  <c r="J101" i="34" s="1"/>
  <c r="I38" i="18"/>
  <c r="J38" i="18"/>
  <c r="H38" i="18"/>
  <c r="H36" i="18"/>
  <c r="C4" i="21" s="1"/>
  <c r="H68" i="28"/>
  <c r="C5" i="31" s="1"/>
  <c r="M76" i="4"/>
  <c r="N76" i="4"/>
  <c r="L64" i="4"/>
  <c r="M64" i="4"/>
  <c r="N64" i="4"/>
  <c r="M62" i="4"/>
  <c r="N62" i="4"/>
  <c r="L62" i="4"/>
  <c r="M26" i="4"/>
  <c r="N26" i="4"/>
  <c r="L26" i="4"/>
  <c r="I98" i="34"/>
  <c r="I9" i="34"/>
  <c r="J9" i="34"/>
  <c r="J11" i="34" s="1"/>
  <c r="I15" i="34"/>
  <c r="H146" i="34"/>
  <c r="C14" i="35" s="1"/>
  <c r="I21" i="34"/>
  <c r="J98" i="34"/>
  <c r="J99" i="34"/>
  <c r="I111" i="34"/>
  <c r="I112" i="34"/>
  <c r="I125" i="34"/>
  <c r="I132" i="34"/>
  <c r="H138" i="34"/>
  <c r="C6" i="35" s="1"/>
  <c r="I138" i="34"/>
  <c r="D6" i="35" s="1"/>
  <c r="J138" i="34"/>
  <c r="E6" i="35" s="1"/>
  <c r="H139" i="34"/>
  <c r="C7" i="35" s="1"/>
  <c r="I139" i="34"/>
  <c r="D7" i="35" s="1"/>
  <c r="J139" i="34"/>
  <c r="E7" i="35" s="1"/>
  <c r="H140" i="34"/>
  <c r="I140" i="34"/>
  <c r="D8" i="35" s="1"/>
  <c r="J140" i="34"/>
  <c r="E8" i="35" s="1"/>
  <c r="H141" i="34"/>
  <c r="C9" i="35" s="1"/>
  <c r="I141" i="34"/>
  <c r="D9" i="35" s="1"/>
  <c r="J141" i="34"/>
  <c r="E9" i="35" s="1"/>
  <c r="H142" i="34"/>
  <c r="C10" i="35" s="1"/>
  <c r="H143" i="34"/>
  <c r="C11" i="35" s="1"/>
  <c r="I143" i="34"/>
  <c r="D11" i="35" s="1"/>
  <c r="J143" i="34"/>
  <c r="E11" i="35" s="1"/>
  <c r="H144" i="34"/>
  <c r="C12" i="35" s="1"/>
  <c r="I144" i="34"/>
  <c r="D12" i="35" s="1"/>
  <c r="J144" i="34"/>
  <c r="E12" i="35" s="1"/>
  <c r="H145" i="34"/>
  <c r="I145" i="34"/>
  <c r="D13" i="35" s="1"/>
  <c r="J145" i="34"/>
  <c r="E13" i="35" s="1"/>
  <c r="H67" i="28"/>
  <c r="C4" i="31" s="1"/>
  <c r="H69" i="28"/>
  <c r="C6" i="31" s="1"/>
  <c r="I69" i="28"/>
  <c r="D6" i="31" s="1"/>
  <c r="J69" i="28"/>
  <c r="E6" i="31" s="1"/>
  <c r="H70" i="28"/>
  <c r="C7" i="31" s="1"/>
  <c r="H71" i="28"/>
  <c r="C8" i="31" s="1"/>
  <c r="I71" i="28"/>
  <c r="D8" i="31" s="1"/>
  <c r="J71" i="28"/>
  <c r="E8" i="31" s="1"/>
  <c r="H72" i="28"/>
  <c r="C9" i="31" s="1"/>
  <c r="I72" i="28"/>
  <c r="D9" i="31" s="1"/>
  <c r="J72" i="28"/>
  <c r="E9" i="31" s="1"/>
  <c r="H73" i="28"/>
  <c r="C10" i="31" s="1"/>
  <c r="I73" i="28"/>
  <c r="D10" i="31" s="1"/>
  <c r="J73" i="28"/>
  <c r="E10" i="31" s="1"/>
  <c r="H74" i="28"/>
  <c r="C11" i="31" s="1"/>
  <c r="I74" i="28"/>
  <c r="D11" i="31" s="1"/>
  <c r="J74" i="28"/>
  <c r="E11" i="31" s="1"/>
  <c r="H75" i="28"/>
  <c r="C12" i="31" s="1"/>
  <c r="I75" i="28"/>
  <c r="D12" i="31" s="1"/>
  <c r="J75" i="28"/>
  <c r="E12" i="31" s="1"/>
  <c r="H76" i="28"/>
  <c r="C13" i="31" s="1"/>
  <c r="I76" i="28"/>
  <c r="D13" i="31" s="1"/>
  <c r="J76" i="28"/>
  <c r="E13" i="31" s="1"/>
  <c r="H77" i="28"/>
  <c r="C14" i="31" s="1"/>
  <c r="I77" i="28"/>
  <c r="D14" i="31" s="1"/>
  <c r="J77" i="28"/>
  <c r="E14" i="31" s="1"/>
  <c r="C7" i="26"/>
  <c r="D7" i="26"/>
  <c r="E7" i="26"/>
  <c r="D8" i="26"/>
  <c r="C9" i="26"/>
  <c r="C10" i="26"/>
  <c r="D10" i="26"/>
  <c r="C11" i="26"/>
  <c r="D11" i="26"/>
  <c r="E11" i="26"/>
  <c r="D12" i="26"/>
  <c r="E12" i="26"/>
  <c r="D13" i="26"/>
  <c r="D14" i="26"/>
  <c r="E14" i="26"/>
  <c r="J41" i="18"/>
  <c r="E9" i="21" s="1"/>
  <c r="H37" i="18"/>
  <c r="C5" i="21"/>
  <c r="C6" i="21"/>
  <c r="E6" i="21"/>
  <c r="H39" i="18"/>
  <c r="I39" i="18"/>
  <c r="J39" i="18"/>
  <c r="H40" i="18"/>
  <c r="I40" i="18"/>
  <c r="D8" i="21"/>
  <c r="J40" i="18"/>
  <c r="E8" i="21" s="1"/>
  <c r="H41" i="18"/>
  <c r="H42" i="18"/>
  <c r="H47" i="18" s="1"/>
  <c r="I42" i="18"/>
  <c r="D10" i="21" s="1"/>
  <c r="J42" i="18"/>
  <c r="E10" i="21"/>
  <c r="H43" i="18"/>
  <c r="C11" i="21" s="1"/>
  <c r="I43" i="18"/>
  <c r="J43" i="18"/>
  <c r="E11" i="21" s="1"/>
  <c r="H44" i="18"/>
  <c r="C12" i="21" s="1"/>
  <c r="I44" i="18"/>
  <c r="D12" i="21" s="1"/>
  <c r="J44" i="18"/>
  <c r="E12" i="21"/>
  <c r="H45" i="18"/>
  <c r="C13" i="21" s="1"/>
  <c r="I45" i="18"/>
  <c r="D13" i="21"/>
  <c r="J45" i="18"/>
  <c r="E13" i="21" s="1"/>
  <c r="H46" i="18"/>
  <c r="I46" i="18"/>
  <c r="J46" i="18"/>
  <c r="E14" i="21" s="1"/>
  <c r="E4" i="16"/>
  <c r="C5" i="16"/>
  <c r="I48" i="13"/>
  <c r="D6" i="16" s="1"/>
  <c r="J48" i="13"/>
  <c r="I49" i="13"/>
  <c r="J49" i="13"/>
  <c r="E7" i="16" s="1"/>
  <c r="I50" i="13"/>
  <c r="J50" i="13"/>
  <c r="E8" i="16" s="1"/>
  <c r="I51" i="13"/>
  <c r="J51" i="13"/>
  <c r="E9" i="16" s="1"/>
  <c r="I52" i="13"/>
  <c r="D10" i="16" s="1"/>
  <c r="J52" i="13"/>
  <c r="E10" i="16" s="1"/>
  <c r="I53" i="13"/>
  <c r="D11" i="16" s="1"/>
  <c r="J53" i="13"/>
  <c r="E11" i="16" s="1"/>
  <c r="I54" i="13"/>
  <c r="D12" i="16" s="1"/>
  <c r="J54" i="13"/>
  <c r="E12" i="16"/>
  <c r="I55" i="13"/>
  <c r="D13" i="16" s="1"/>
  <c r="J55" i="13"/>
  <c r="E7" i="11"/>
  <c r="D13" i="11"/>
  <c r="I14" i="18"/>
  <c r="C13" i="16"/>
  <c r="I68" i="28"/>
  <c r="D5" i="31" s="1"/>
  <c r="C14" i="16"/>
  <c r="C10" i="16"/>
  <c r="C7" i="16"/>
  <c r="C11" i="16"/>
  <c r="D4" i="16"/>
  <c r="C9" i="16"/>
  <c r="C6" i="16"/>
  <c r="C3" i="16" s="1"/>
  <c r="C4" i="16"/>
  <c r="C4" i="26"/>
  <c r="E4" i="26"/>
  <c r="I41" i="18"/>
  <c r="J36" i="18"/>
  <c r="E4" i="21"/>
  <c r="D7" i="16"/>
  <c r="J47" i="13"/>
  <c r="E13" i="16"/>
  <c r="D9" i="16"/>
  <c r="I11" i="34"/>
  <c r="J12" i="34"/>
  <c r="J15" i="34" s="1"/>
  <c r="I17" i="34"/>
  <c r="J17" i="34"/>
  <c r="J146" i="34" s="1"/>
  <c r="E14" i="35" s="1"/>
  <c r="J142" i="34"/>
  <c r="E10" i="35" s="1"/>
  <c r="I142" i="34"/>
  <c r="D10" i="35" s="1"/>
  <c r="I101" i="34"/>
  <c r="J113" i="34"/>
  <c r="I99" i="34"/>
  <c r="I137" i="34"/>
  <c r="D5" i="35" s="1"/>
  <c r="I113" i="34"/>
  <c r="C8" i="35"/>
  <c r="E10" i="26"/>
  <c r="C6" i="26"/>
  <c r="E9" i="26"/>
  <c r="C5" i="26"/>
  <c r="C3" i="26" s="1"/>
  <c r="C13" i="26"/>
  <c r="E8" i="26"/>
  <c r="E13" i="26"/>
  <c r="D9" i="26"/>
  <c r="D6" i="26"/>
  <c r="C12" i="26"/>
  <c r="C14" i="26"/>
  <c r="C8" i="26"/>
  <c r="E7" i="21"/>
  <c r="D11" i="21"/>
  <c r="D6" i="21"/>
  <c r="C8" i="21"/>
  <c r="E6" i="16"/>
  <c r="D8" i="16"/>
  <c r="E11" i="11"/>
  <c r="E12" i="11"/>
  <c r="C13" i="35"/>
  <c r="L93" i="4"/>
  <c r="I37" i="18"/>
  <c r="H136" i="34"/>
  <c r="C4" i="35" s="1"/>
  <c r="C7" i="21"/>
  <c r="D14" i="21"/>
  <c r="C14" i="21"/>
  <c r="C9" i="21"/>
  <c r="D7" i="21"/>
  <c r="M93" i="4"/>
  <c r="I47" i="13"/>
  <c r="D5" i="16" s="1"/>
  <c r="D4" i="26"/>
  <c r="H14" i="18"/>
  <c r="H34" i="18"/>
  <c r="C2" i="21" s="1"/>
  <c r="I146" i="34"/>
  <c r="D14" i="35" s="1"/>
  <c r="D9" i="21"/>
  <c r="E5" i="16"/>
  <c r="I102" i="34"/>
  <c r="I133" i="34"/>
  <c r="N93" i="4"/>
  <c r="D5" i="21"/>
  <c r="J14" i="18"/>
  <c r="E6" i="26"/>
  <c r="J37" i="18"/>
  <c r="J47" i="18" s="1"/>
  <c r="J34" i="18"/>
  <c r="E2" i="21"/>
  <c r="C14" i="11"/>
  <c r="D3" i="26" l="1"/>
  <c r="E5" i="21"/>
  <c r="E3" i="21" s="1"/>
  <c r="C10" i="21"/>
  <c r="C3" i="21" s="1"/>
  <c r="I25" i="13"/>
  <c r="I42" i="13" s="1"/>
  <c r="I43" i="13" s="1"/>
  <c r="I44" i="13" s="1"/>
  <c r="D2" i="16" s="1"/>
  <c r="J21" i="34"/>
  <c r="J22" i="34" s="1"/>
  <c r="I22" i="34"/>
  <c r="J14" i="13"/>
  <c r="I56" i="13"/>
  <c r="D14" i="16" s="1"/>
  <c r="D3" i="16" s="1"/>
  <c r="J76" i="4"/>
  <c r="H57" i="13"/>
  <c r="J26" i="4"/>
  <c r="J102" i="34"/>
  <c r="J20" i="34"/>
  <c r="J35" i="34" s="1"/>
  <c r="J36" i="34" s="1"/>
  <c r="H42" i="13"/>
  <c r="H43" i="13" s="1"/>
  <c r="H44" i="13" s="1"/>
  <c r="C2" i="16" s="1"/>
  <c r="J40" i="23"/>
  <c r="E2" i="26" s="1"/>
  <c r="H187" i="4"/>
  <c r="C5" i="11" s="1"/>
  <c r="C10" i="43" s="1"/>
  <c r="G10" i="43" s="1"/>
  <c r="J175" i="4"/>
  <c r="J177" i="4" s="1"/>
  <c r="J134" i="4"/>
  <c r="J135" i="4" s="1"/>
  <c r="I26" i="4"/>
  <c r="I33" i="4"/>
  <c r="J33" i="4" s="1"/>
  <c r="H166" i="4"/>
  <c r="H167" i="4" s="1"/>
  <c r="H183" i="4" s="1"/>
  <c r="I161" i="4"/>
  <c r="I32" i="18"/>
  <c r="J43" i="23"/>
  <c r="E5" i="26" s="1"/>
  <c r="E3" i="26" s="1"/>
  <c r="J31" i="23"/>
  <c r="J38" i="23" s="1"/>
  <c r="J39" i="23" s="1"/>
  <c r="I31" i="23"/>
  <c r="I38" i="23" s="1"/>
  <c r="I39" i="23" s="1"/>
  <c r="I43" i="23"/>
  <c r="D5" i="26" s="1"/>
  <c r="I84" i="34"/>
  <c r="I92" i="34" s="1"/>
  <c r="J82" i="34"/>
  <c r="J84" i="34" s="1"/>
  <c r="I96" i="34"/>
  <c r="J95" i="34"/>
  <c r="J96" i="34" s="1"/>
  <c r="H106" i="49"/>
  <c r="I20" i="49"/>
  <c r="J19" i="49"/>
  <c r="J20" i="49" s="1"/>
  <c r="I14" i="49"/>
  <c r="J13" i="49"/>
  <c r="J14" i="49" s="1"/>
  <c r="H103" i="34"/>
  <c r="I36" i="18"/>
  <c r="J187" i="4"/>
  <c r="E5" i="11" s="1"/>
  <c r="J110" i="4"/>
  <c r="J111" i="4" s="1"/>
  <c r="J106" i="4"/>
  <c r="J107" i="4" s="1"/>
  <c r="J28" i="4"/>
  <c r="J196" i="4" s="1"/>
  <c r="E14" i="11" s="1"/>
  <c r="I155" i="4"/>
  <c r="I151" i="4"/>
  <c r="I187" i="4"/>
  <c r="D5" i="11" s="1"/>
  <c r="H116" i="4"/>
  <c r="H129" i="4" s="1"/>
  <c r="H91" i="4"/>
  <c r="H92" i="4" s="1"/>
  <c r="H93" i="4" s="1"/>
  <c r="B8" i="43"/>
  <c r="I17" i="23"/>
  <c r="I40" i="23" s="1"/>
  <c r="D2" i="26" s="1"/>
  <c r="H38" i="23"/>
  <c r="H39" i="23" s="1"/>
  <c r="H40" i="23" s="1"/>
  <c r="C2" i="26" s="1"/>
  <c r="I15" i="28"/>
  <c r="J12" i="28"/>
  <c r="J15" i="28" s="1"/>
  <c r="I80" i="34"/>
  <c r="I81" i="34" s="1"/>
  <c r="J87" i="34"/>
  <c r="J91" i="34" s="1"/>
  <c r="I91" i="34"/>
  <c r="I97" i="34"/>
  <c r="I103" i="34" s="1"/>
  <c r="I117" i="49"/>
  <c r="I118" i="49" s="1"/>
  <c r="J115" i="49"/>
  <c r="J117" i="49" s="1"/>
  <c r="J118" i="49" s="1"/>
  <c r="J23" i="49"/>
  <c r="J24" i="49" s="1"/>
  <c r="I24" i="49"/>
  <c r="J172" i="4"/>
  <c r="J174" i="4" s="1"/>
  <c r="J178" i="4" s="1"/>
  <c r="I20" i="18"/>
  <c r="I23" i="18" s="1"/>
  <c r="I33" i="18" s="1"/>
  <c r="I34" i="18" s="1"/>
  <c r="D2" i="21" s="1"/>
  <c r="I53" i="23"/>
  <c r="I62" i="28"/>
  <c r="I63" i="28" s="1"/>
  <c r="J61" i="28"/>
  <c r="J62" i="28" s="1"/>
  <c r="J97" i="34"/>
  <c r="I132" i="49"/>
  <c r="J130" i="49"/>
  <c r="J132" i="49" s="1"/>
  <c r="I116" i="4"/>
  <c r="I129" i="4" s="1"/>
  <c r="H160" i="4"/>
  <c r="H62" i="4"/>
  <c r="H67" i="4" s="1"/>
  <c r="H68" i="4" s="1"/>
  <c r="H184" i="4" s="1"/>
  <c r="C2" i="11" s="1"/>
  <c r="I97" i="49"/>
  <c r="J96" i="49"/>
  <c r="J97" i="49" s="1"/>
  <c r="I62" i="49"/>
  <c r="I63" i="49" s="1"/>
  <c r="J61" i="49"/>
  <c r="J62" i="49" s="1"/>
  <c r="J63" i="49" s="1"/>
  <c r="H133" i="34"/>
  <c r="J55" i="7"/>
  <c r="H184" i="7"/>
  <c r="J184" i="7"/>
  <c r="I55" i="7"/>
  <c r="H274" i="7"/>
  <c r="H252" i="7"/>
  <c r="J261" i="7"/>
  <c r="J262" i="7" s="1"/>
  <c r="J228" i="7"/>
  <c r="I184" i="7"/>
  <c r="I77" i="4"/>
  <c r="J78" i="34"/>
  <c r="J79" i="34" s="1"/>
  <c r="J74" i="34"/>
  <c r="J75" i="34" s="1"/>
  <c r="J70" i="34"/>
  <c r="J71" i="34" s="1"/>
  <c r="J64" i="34"/>
  <c r="J67" i="34" s="1"/>
  <c r="J59" i="34"/>
  <c r="J61" i="34" s="1"/>
  <c r="J55" i="34"/>
  <c r="J56" i="34" s="1"/>
  <c r="J47" i="34"/>
  <c r="J50" i="34" s="1"/>
  <c r="J43" i="34"/>
  <c r="I108" i="34"/>
  <c r="I109" i="34" s="1"/>
  <c r="J21" i="49"/>
  <c r="J22" i="49" s="1"/>
  <c r="I261" i="7"/>
  <c r="I262" i="7" s="1"/>
  <c r="H238" i="7"/>
  <c r="J197" i="7"/>
  <c r="J198" i="7" s="1"/>
  <c r="J207" i="7" s="1"/>
  <c r="J238" i="7"/>
  <c r="I270" i="7"/>
  <c r="I274" i="7" s="1"/>
  <c r="I215" i="7"/>
  <c r="I243" i="7"/>
  <c r="H100" i="7"/>
  <c r="I100" i="7"/>
  <c r="H215" i="7"/>
  <c r="H228" i="7"/>
  <c r="H243" i="7"/>
  <c r="I228" i="7"/>
  <c r="H261" i="7"/>
  <c r="H262" i="7" s="1"/>
  <c r="H92" i="7"/>
  <c r="I67" i="28"/>
  <c r="D4" i="31" s="1"/>
  <c r="H44" i="28"/>
  <c r="I70" i="28"/>
  <c r="D7" i="31" s="1"/>
  <c r="I50" i="28"/>
  <c r="J16" i="28"/>
  <c r="J21" i="28" s="1"/>
  <c r="J34" i="28"/>
  <c r="J36" i="28" s="1"/>
  <c r="J37" i="28" s="1"/>
  <c r="J38" i="28"/>
  <c r="J39" i="28" s="1"/>
  <c r="I29" i="28"/>
  <c r="J22" i="28"/>
  <c r="J24" i="28" s="1"/>
  <c r="H29" i="28"/>
  <c r="H45" i="28" s="1"/>
  <c r="H53" i="28"/>
  <c r="J41" i="28"/>
  <c r="J47" i="28"/>
  <c r="J53" i="28" s="1"/>
  <c r="J68" i="28"/>
  <c r="E5" i="31" s="1"/>
  <c r="J55" i="28"/>
  <c r="I47" i="28"/>
  <c r="I41" i="28"/>
  <c r="I44" i="28" s="1"/>
  <c r="H63" i="28"/>
  <c r="J63" i="28"/>
  <c r="H146" i="49"/>
  <c r="H135" i="49"/>
  <c r="H136" i="49" s="1"/>
  <c r="J139" i="49"/>
  <c r="J140" i="49" s="1"/>
  <c r="I155" i="49"/>
  <c r="I156" i="49" s="1"/>
  <c r="I138" i="49"/>
  <c r="I141" i="49" s="1"/>
  <c r="I146" i="49" s="1"/>
  <c r="I95" i="49"/>
  <c r="H155" i="49"/>
  <c r="H156" i="49" s="1"/>
  <c r="J141" i="49"/>
  <c r="J149" i="49"/>
  <c r="J151" i="49" s="1"/>
  <c r="J85" i="49"/>
  <c r="J87" i="49" s="1"/>
  <c r="J10" i="49"/>
  <c r="I134" i="49"/>
  <c r="I135" i="49" s="1"/>
  <c r="I136" i="49" s="1"/>
  <c r="H207" i="7"/>
  <c r="J65" i="49"/>
  <c r="I20" i="34"/>
  <c r="I35" i="34" s="1"/>
  <c r="I36" i="34" s="1"/>
  <c r="H134" i="34"/>
  <c r="C2" i="35" s="1"/>
  <c r="H60" i="49"/>
  <c r="J133" i="4"/>
  <c r="J136" i="4" s="1"/>
  <c r="I133" i="4"/>
  <c r="I136" i="4" s="1"/>
  <c r="J287" i="7"/>
  <c r="E14" i="10" s="1"/>
  <c r="I238" i="7"/>
  <c r="I92" i="7"/>
  <c r="I207" i="7"/>
  <c r="J265" i="7"/>
  <c r="J266" i="7" s="1"/>
  <c r="J270" i="7" s="1"/>
  <c r="J274" i="7" s="1"/>
  <c r="H56" i="7"/>
  <c r="H277" i="7"/>
  <c r="C4" i="10" s="1"/>
  <c r="C3" i="10" s="1"/>
  <c r="J61" i="7"/>
  <c r="J246" i="7"/>
  <c r="J247" i="7" s="1"/>
  <c r="J252" i="7" s="1"/>
  <c r="J253" i="7" s="1"/>
  <c r="J95" i="7"/>
  <c r="J96" i="7" s="1"/>
  <c r="J100" i="7" s="1"/>
  <c r="J77" i="7"/>
  <c r="J78" i="7" s="1"/>
  <c r="I249" i="7"/>
  <c r="I252" i="7" s="1"/>
  <c r="J169" i="49"/>
  <c r="E14" i="45" s="1"/>
  <c r="I160" i="49"/>
  <c r="D5" i="45" s="1"/>
  <c r="I16" i="49"/>
  <c r="J15" i="49"/>
  <c r="J16" i="49" s="1"/>
  <c r="I169" i="49"/>
  <c r="D14" i="45" s="1"/>
  <c r="D19" i="43" s="1"/>
  <c r="I165" i="49"/>
  <c r="D10" i="45" s="1"/>
  <c r="D15" i="43" s="1"/>
  <c r="J88" i="49"/>
  <c r="J89" i="49" s="1"/>
  <c r="J82" i="49"/>
  <c r="J83" i="49" s="1"/>
  <c r="J55" i="49"/>
  <c r="J30" i="49"/>
  <c r="J31" i="49" s="1"/>
  <c r="I55" i="49"/>
  <c r="I60" i="49" s="1"/>
  <c r="H165" i="49"/>
  <c r="C10" i="45" s="1"/>
  <c r="C15" i="43" s="1"/>
  <c r="G15" i="43" s="1"/>
  <c r="J147" i="49"/>
  <c r="J148" i="49" s="1"/>
  <c r="J155" i="49" s="1"/>
  <c r="J156" i="49" s="1"/>
  <c r="J142" i="49"/>
  <c r="J144" i="49" s="1"/>
  <c r="J145" i="49" s="1"/>
  <c r="J123" i="49"/>
  <c r="J124" i="49" s="1"/>
  <c r="J98" i="49"/>
  <c r="J99" i="49" s="1"/>
  <c r="J11" i="49"/>
  <c r="J28" i="49"/>
  <c r="J29" i="49" s="1"/>
  <c r="I81" i="49"/>
  <c r="I84" i="49" s="1"/>
  <c r="H159" i="49"/>
  <c r="C4" i="45" s="1"/>
  <c r="H16" i="49"/>
  <c r="H25" i="49" s="1"/>
  <c r="H64" i="49" s="1"/>
  <c r="J90" i="49"/>
  <c r="J95" i="49" s="1"/>
  <c r="J81" i="49"/>
  <c r="I68" i="49"/>
  <c r="J68" i="49" s="1"/>
  <c r="H122" i="49"/>
  <c r="I20" i="7"/>
  <c r="I56" i="7" s="1"/>
  <c r="I101" i="7" s="1"/>
  <c r="J9" i="7"/>
  <c r="J10" i="7" s="1"/>
  <c r="I277" i="7"/>
  <c r="D4" i="10" s="1"/>
  <c r="D3" i="10" s="1"/>
  <c r="H253" i="7"/>
  <c r="J20" i="7"/>
  <c r="C3" i="35"/>
  <c r="H147" i="34"/>
  <c r="I136" i="34"/>
  <c r="C19" i="43"/>
  <c r="G19" i="43" s="1"/>
  <c r="J106" i="34"/>
  <c r="J62" i="4"/>
  <c r="J67" i="4" s="1"/>
  <c r="J68" i="4" s="1"/>
  <c r="C11" i="43"/>
  <c r="G11" i="43" s="1"/>
  <c r="I62" i="4"/>
  <c r="I67" i="4" s="1"/>
  <c r="I68" i="4" s="1"/>
  <c r="D16" i="43"/>
  <c r="C8" i="11"/>
  <c r="E18" i="43"/>
  <c r="D17" i="43"/>
  <c r="C16" i="43"/>
  <c r="E14" i="43"/>
  <c r="D13" i="43"/>
  <c r="C12" i="43"/>
  <c r="G12" i="43" s="1"/>
  <c r="J112" i="4"/>
  <c r="I188" i="4"/>
  <c r="E17" i="43"/>
  <c r="D12" i="43"/>
  <c r="D18" i="43"/>
  <c r="C17" i="43"/>
  <c r="G17" i="43" s="1"/>
  <c r="D14" i="43"/>
  <c r="C18" i="43"/>
  <c r="G18" i="43" s="1"/>
  <c r="E16" i="43"/>
  <c r="C14" i="43"/>
  <c r="G14" i="43" s="1"/>
  <c r="I78" i="28"/>
  <c r="H78" i="28"/>
  <c r="C3" i="31"/>
  <c r="D10" i="43" l="1"/>
  <c r="H197" i="4"/>
  <c r="C3" i="11"/>
  <c r="I153" i="4"/>
  <c r="I154" i="4" s="1"/>
  <c r="J151" i="4"/>
  <c r="J153" i="4" s="1"/>
  <c r="J154" i="4" s="1"/>
  <c r="I134" i="34"/>
  <c r="D2" i="35" s="1"/>
  <c r="H64" i="28"/>
  <c r="J44" i="34"/>
  <c r="J80" i="34" s="1"/>
  <c r="J81" i="34" s="1"/>
  <c r="J137" i="34"/>
  <c r="E5" i="35" s="1"/>
  <c r="I91" i="4"/>
  <c r="I92" i="4" s="1"/>
  <c r="I93" i="4" s="1"/>
  <c r="J77" i="4"/>
  <c r="I158" i="4"/>
  <c r="I159" i="4" s="1"/>
  <c r="I160" i="4" s="1"/>
  <c r="I184" i="4" s="1"/>
  <c r="D2" i="11" s="1"/>
  <c r="J155" i="4"/>
  <c r="J158" i="4" s="1"/>
  <c r="J159" i="4" s="1"/>
  <c r="J103" i="34"/>
  <c r="J56" i="13"/>
  <c r="J15" i="13"/>
  <c r="J42" i="13" s="1"/>
  <c r="J43" i="13" s="1"/>
  <c r="J44" i="13" s="1"/>
  <c r="E2" i="16" s="1"/>
  <c r="I186" i="4"/>
  <c r="D4" i="11" s="1"/>
  <c r="J84" i="49"/>
  <c r="J135" i="49"/>
  <c r="J136" i="49" s="1"/>
  <c r="I25" i="49"/>
  <c r="J160" i="4"/>
  <c r="I106" i="49"/>
  <c r="J56" i="7"/>
  <c r="D4" i="21"/>
  <c r="D3" i="21" s="1"/>
  <c r="I47" i="18"/>
  <c r="I166" i="4"/>
  <c r="I167" i="4" s="1"/>
  <c r="I183" i="4" s="1"/>
  <c r="J161" i="4"/>
  <c r="J166" i="4" s="1"/>
  <c r="J167" i="4" s="1"/>
  <c r="J183" i="4" s="1"/>
  <c r="J53" i="23"/>
  <c r="I57" i="13"/>
  <c r="J146" i="49"/>
  <c r="D3" i="31"/>
  <c r="J92" i="34"/>
  <c r="I253" i="7"/>
  <c r="I275" i="7" s="1"/>
  <c r="D2" i="10" s="1"/>
  <c r="H101" i="7"/>
  <c r="H275" i="7" s="1"/>
  <c r="C2" i="10" s="1"/>
  <c r="J70" i="28"/>
  <c r="E7" i="31" s="1"/>
  <c r="E12" i="43" s="1"/>
  <c r="J29" i="28"/>
  <c r="J45" i="28" s="1"/>
  <c r="H65" i="28"/>
  <c r="C2" i="31" s="1"/>
  <c r="J44" i="28"/>
  <c r="I53" i="28"/>
  <c r="I64" i="28" s="1"/>
  <c r="J67" i="28"/>
  <c r="E4" i="31" s="1"/>
  <c r="I45" i="28"/>
  <c r="J64" i="28"/>
  <c r="J69" i="49"/>
  <c r="J78" i="49" s="1"/>
  <c r="I69" i="49"/>
  <c r="I78" i="49" s="1"/>
  <c r="I122" i="49" s="1"/>
  <c r="I64" i="49"/>
  <c r="H288" i="7"/>
  <c r="J277" i="7"/>
  <c r="J281" i="7"/>
  <c r="E8" i="10" s="1"/>
  <c r="E13" i="43" s="1"/>
  <c r="J62" i="7"/>
  <c r="J92" i="7" s="1"/>
  <c r="C9" i="43"/>
  <c r="G9" i="43" s="1"/>
  <c r="J101" i="7"/>
  <c r="J275" i="7" s="1"/>
  <c r="E2" i="10" s="1"/>
  <c r="I159" i="49"/>
  <c r="I170" i="49" s="1"/>
  <c r="C3" i="45"/>
  <c r="C8" i="43" s="1"/>
  <c r="G8" i="43" s="1"/>
  <c r="H157" i="49"/>
  <c r="C2" i="45" s="1"/>
  <c r="J165" i="49"/>
  <c r="E10" i="45" s="1"/>
  <c r="E15" i="43" s="1"/>
  <c r="J12" i="49"/>
  <c r="J25" i="49" s="1"/>
  <c r="J159" i="49"/>
  <c r="E4" i="45" s="1"/>
  <c r="J106" i="49"/>
  <c r="J60" i="49"/>
  <c r="H170" i="49"/>
  <c r="J160" i="49"/>
  <c r="E5" i="45" s="1"/>
  <c r="E10" i="43" s="1"/>
  <c r="I288" i="7"/>
  <c r="D4" i="35"/>
  <c r="D3" i="35" s="1"/>
  <c r="I147" i="34"/>
  <c r="J107" i="34"/>
  <c r="J108" i="34" s="1"/>
  <c r="J109" i="34" s="1"/>
  <c r="J136" i="34"/>
  <c r="C13" i="43"/>
  <c r="G13" i="43" s="1"/>
  <c r="D6" i="11"/>
  <c r="J188" i="4"/>
  <c r="J113" i="4"/>
  <c r="J116" i="4" s="1"/>
  <c r="J129" i="4" s="1"/>
  <c r="J122" i="49" l="1"/>
  <c r="J134" i="34"/>
  <c r="E2" i="35" s="1"/>
  <c r="I197" i="4"/>
  <c r="E14" i="16"/>
  <c r="J57" i="13"/>
  <c r="J91" i="4"/>
  <c r="J92" i="4" s="1"/>
  <c r="J93" i="4" s="1"/>
  <c r="J184" i="4" s="1"/>
  <c r="E2" i="11" s="1"/>
  <c r="J186" i="4"/>
  <c r="E4" i="11" s="1"/>
  <c r="E3" i="31"/>
  <c r="I65" i="28"/>
  <c r="D2" i="31" s="1"/>
  <c r="C7" i="43"/>
  <c r="G7" i="43" s="1"/>
  <c r="J78" i="28"/>
  <c r="J65" i="28"/>
  <c r="E2" i="31" s="1"/>
  <c r="J64" i="49"/>
  <c r="J157" i="49" s="1"/>
  <c r="E2" i="45" s="1"/>
  <c r="I157" i="49"/>
  <c r="D2" i="45" s="1"/>
  <c r="D7" i="43" s="1"/>
  <c r="J288" i="7"/>
  <c r="E4" i="10"/>
  <c r="E3" i="10" s="1"/>
  <c r="D4" i="45"/>
  <c r="J170" i="49"/>
  <c r="E3" i="45"/>
  <c r="J147" i="34"/>
  <c r="E4" i="35"/>
  <c r="E6" i="11"/>
  <c r="D3" i="11"/>
  <c r="D11" i="43"/>
  <c r="J197" i="4" l="1"/>
  <c r="E3" i="16"/>
  <c r="E19" i="43"/>
  <c r="E7" i="43"/>
  <c r="D3" i="45"/>
  <c r="D8" i="43" s="1"/>
  <c r="D9" i="43"/>
  <c r="E3" i="35"/>
  <c r="E9" i="43"/>
  <c r="E3" i="11"/>
  <c r="E11" i="43"/>
  <c r="E8" i="43" l="1"/>
</calcChain>
</file>

<file path=xl/sharedStrings.xml><?xml version="1.0" encoding="utf-8"?>
<sst xmlns="http://schemas.openxmlformats.org/spreadsheetml/2006/main" count="2337" uniqueCount="848">
  <si>
    <t xml:space="preserve"> 01 Siekti subalansuotos ir sveikos aplinkos Jonavos rajono savivaldybės teritorijoje</t>
  </si>
  <si>
    <t xml:space="preserve"> 01 Prevencinės priemonės, kuriomis siekiama išvengti medžiojamųjų gyvūnų daromos žalos miškui</t>
  </si>
  <si>
    <t xml:space="preserve"> 02 Sudaryti sąlygas Jonavos rajono priešgaisrinės tarnybos misijai atlikti</t>
  </si>
  <si>
    <t xml:space="preserve"> 01 Organizuoti JPGT darbuotojų darbą</t>
  </si>
  <si>
    <t>Iš jų:</t>
  </si>
  <si>
    <t>Asignavimų valdytojo kodas</t>
  </si>
  <si>
    <t>Lėšos, reikalingos veiklos planui įgyvendinti, ir finansavimo šaltiniai</t>
  </si>
  <si>
    <t>Iš viso programos tikslui</t>
  </si>
  <si>
    <t>Iš viso programai</t>
  </si>
  <si>
    <t xml:space="preserve"> 02 Priartinti visuomenės sveikatos priežiūrą prie savivaldybės gyventojų</t>
  </si>
  <si>
    <t xml:space="preserve"> 03 Kelių ir gatvių priežiūra Jonavos miesto seniūnijoje</t>
  </si>
  <si>
    <t xml:space="preserve"> 04 Kelių ir gatvių priežiūra Kulvos seniūnijoje</t>
  </si>
  <si>
    <t xml:space="preserve"> 05 Kelių ir gatvių priežiūra Ruklos seniūnijoje</t>
  </si>
  <si>
    <t xml:space="preserve"> 06 Kelių ir gatvių priežiūra Šilų seniūnijoje</t>
  </si>
  <si>
    <t xml:space="preserve"> 07 Kelių ir gatvių priežiūra Upninkų seniūnijoje</t>
  </si>
  <si>
    <t xml:space="preserve"> 08 Kelių ir gatvių priežiūra Užusalių seniūnijoje</t>
  </si>
  <si>
    <t xml:space="preserve"> 02 Savivaldybės kontrolieriaus funkcijų vykdymas</t>
  </si>
  <si>
    <t xml:space="preserve"> 02 Užtikrinti efektyvų valstybinių (perduotų savivaldybėms) funkcijų vykdymą</t>
  </si>
  <si>
    <t xml:space="preserve"> 01 Neįgaliųjų būsto pritaikymo jų poreikiams dalinis finansavimas</t>
  </si>
  <si>
    <t xml:space="preserve"> 01 Mero fondas</t>
  </si>
  <si>
    <t xml:space="preserve"> 01 Vienkartinių ir kitų išlaidų finansavimas</t>
  </si>
  <si>
    <t xml:space="preserve"> 06 Koordinuoti Europos Sąjungos paramos, kitų programų paramos panaudojimą Jonavos rajono savivaldybėje</t>
  </si>
  <si>
    <t xml:space="preserve"> 01 Dalyvauti, planuoti ir valdyti ES ir kitų programų finansuojamus projektus</t>
  </si>
  <si>
    <t xml:space="preserve"> 01  Jonavos savivaldybės teatro veikla</t>
  </si>
  <si>
    <t xml:space="preserve"> 05 Vienkartinės išmokos</t>
  </si>
  <si>
    <t>Tik krepšelis</t>
  </si>
  <si>
    <t>Dalyvavusių kvalifikacijos kėlimo mokymuose skaičius (vnt.)</t>
  </si>
  <si>
    <t>Pavadinimas</t>
  </si>
  <si>
    <t>9 priedas</t>
  </si>
  <si>
    <t>Paremtų daugiabučių namų bendrijų skaičius (vnt.)</t>
  </si>
  <si>
    <t>Ekonominės klasifikacijos grupės</t>
  </si>
  <si>
    <t xml:space="preserve">1. Iš viso išlaidų </t>
  </si>
  <si>
    <t>2. Finansavimo šaltiniai</t>
  </si>
  <si>
    <t xml:space="preserve"> 02 Remti savivaldybės kontroliuojamų įmonių veiklą</t>
  </si>
  <si>
    <t xml:space="preserve"> 01 Kelių ir gatvių priežiūra Bukonių seniūnijoje</t>
  </si>
  <si>
    <t xml:space="preserve"> 02 Organizuoti  bei teikti socialines paslaugas įvairioms rajono gyventojų socialinėms grupėms</t>
  </si>
  <si>
    <t xml:space="preserve"> 01 Užtikrinti vaikų, jaunuolių ir suaugusiųjų su proto ir kompleksine negalia globą</t>
  </si>
  <si>
    <t xml:space="preserve"> 04 Užtikrinti vaiko globą</t>
  </si>
  <si>
    <t xml:space="preserve"> 05 Užtikrinti asmenų be pastovios gyvenamosios vietos socialines garantijas, suteikiant laikiną prieglobstį</t>
  </si>
  <si>
    <t xml:space="preserve"> 01 Suteikti laikino apgyvendinimo paslaugas Nakvynės namuose </t>
  </si>
  <si>
    <t xml:space="preserve"> 03 Administracijos ir seniūnijų darbo organizavimas</t>
  </si>
  <si>
    <t xml:space="preserve"> 01 Tarybos darbo organizavimas</t>
  </si>
  <si>
    <t xml:space="preserve"> 01 Subsidija miesto pirties ir viešojo tualeto išlaidoms</t>
  </si>
  <si>
    <t xml:space="preserve"> 04 Vykdant LR teisės aktus apskaičiuoti ir išmokėti kompensacijas</t>
  </si>
  <si>
    <t xml:space="preserve"> 02 Kompensuoti vežėjams nuostolius dėl LR transporto įstatyme numatytų lengvatų teikimo</t>
  </si>
  <si>
    <t xml:space="preserve"> 05 Savivaldybės socialinio būsto plėtra</t>
  </si>
  <si>
    <t xml:space="preserve"> 01 Savivaldybės socialinio būsto plėtra ir būsto atnaujinimas </t>
  </si>
  <si>
    <t>Priimtų tarybos sprendimų skaičius (vnt.)</t>
  </si>
  <si>
    <t xml:space="preserve"> 01 Traktorių ir priekabų valstybinių numerių, registracijos liudijimų, techninės apžiūros talonų įsigijimas</t>
  </si>
  <si>
    <t>1.1. priedas</t>
  </si>
  <si>
    <t>Miestų-partnerių skaičius (vnt.)</t>
  </si>
  <si>
    <t xml:space="preserve">1. Iš viso asignavimų </t>
  </si>
  <si>
    <t xml:space="preserve"> 02 Sukurti efektyvią ir darnią švietimo sistemą</t>
  </si>
  <si>
    <t xml:space="preserve"> 01 Jonavos savivaldybės kultūros centro veikla</t>
  </si>
  <si>
    <t xml:space="preserve"> 01 Krašto muziejaus veikla</t>
  </si>
  <si>
    <t>8.1. priedas</t>
  </si>
  <si>
    <t xml:space="preserve"> 02 Mokymo aplinkos finansavimas</t>
  </si>
  <si>
    <t xml:space="preserve"> 01 Sudaryti lygias mokymosi galimybes ir prieinamumą</t>
  </si>
  <si>
    <t xml:space="preserve"> 04 Atstatyti gamtinius išteklius</t>
  </si>
  <si>
    <t xml:space="preserve"> 01 Moksleivio krepšelio finansavimas </t>
  </si>
  <si>
    <t xml:space="preserve"> 01 Skatinti kaimo plėtrą ir didinti žemės ūkio konkurencingumą</t>
  </si>
  <si>
    <t xml:space="preserve"> 05 Informacinių sistemų ir duomenų centrų priežiūra</t>
  </si>
  <si>
    <t xml:space="preserve"> 01 Globoti žmones globos namuose</t>
  </si>
  <si>
    <t xml:space="preserve"> 02 Globoti žmones su sunkia negalia globos namuose</t>
  </si>
  <si>
    <t xml:space="preserve"> 02 Užtikrinti  žmonių ir žmonių su negalia globą globos namuose</t>
  </si>
  <si>
    <t xml:space="preserve">strateginio veiklos plano programos </t>
  </si>
  <si>
    <t>"Švietimas, kultūra ir sportas"</t>
  </si>
  <si>
    <t>ŠVIETIMO, KULTŪROS IR SPORTO PROGRAMOS (NR. 1)</t>
  </si>
  <si>
    <t>Veiklos plano programos tikslo kodas</t>
  </si>
  <si>
    <t>Uždavinio kodas</t>
  </si>
  <si>
    <t>Priemonės kodas</t>
  </si>
  <si>
    <t>Priemonės požymis</t>
  </si>
  <si>
    <t>Finansavimo šaltinis</t>
  </si>
  <si>
    <t>Vertinimo kriterijai</t>
  </si>
  <si>
    <t>Planas</t>
  </si>
  <si>
    <t>TIKSLŲ, UŽDAVINIŲ, PRIEMONIŲ, PRIEMONIŲ IŠLAIDŲ IR PRODUKTO KRITERIJŲ SUVESTINĖ</t>
  </si>
  <si>
    <t>Iš viso priemonei:</t>
  </si>
  <si>
    <t>Iš viso uždaviniui:</t>
  </si>
  <si>
    <t>VB</t>
  </si>
  <si>
    <t>SB</t>
  </si>
  <si>
    <t>TPP</t>
  </si>
  <si>
    <r>
      <t xml:space="preserve">SB </t>
    </r>
    <r>
      <rPr>
        <sz val="8"/>
        <rFont val="Times New Roman"/>
        <family val="1"/>
        <charset val="186"/>
      </rPr>
      <t>Savivaldybės biudžetas</t>
    </r>
  </si>
  <si>
    <r>
      <t xml:space="preserve">VB (STD) </t>
    </r>
    <r>
      <rPr>
        <sz val="8"/>
        <rFont val="Times New Roman"/>
        <family val="1"/>
        <charset val="186"/>
      </rPr>
      <t>Valstybės biudžeto special. tikslinė dotacija</t>
    </r>
  </si>
  <si>
    <r>
      <t xml:space="preserve">ES </t>
    </r>
    <r>
      <rPr>
        <sz val="8"/>
        <rFont val="Times New Roman"/>
        <family val="1"/>
        <charset val="186"/>
      </rPr>
      <t>Europos Sąjungos lėšos, užsienio fondų lėšos</t>
    </r>
  </si>
  <si>
    <r>
      <t xml:space="preserve">SAARS </t>
    </r>
    <r>
      <rPr>
        <sz val="8"/>
        <rFont val="Times New Roman"/>
        <family val="1"/>
        <charset val="186"/>
      </rPr>
      <t>Aplinkos apsaugos rėmimo specialioji programa</t>
    </r>
  </si>
  <si>
    <r>
      <t xml:space="preserve">KPPP </t>
    </r>
    <r>
      <rPr>
        <sz val="8"/>
        <rFont val="Times New Roman"/>
        <family val="1"/>
        <charset val="186"/>
      </rPr>
      <t>Kelių priežiūros ir plėtros programa</t>
    </r>
  </si>
  <si>
    <r>
      <rPr>
        <b/>
        <sz val="8"/>
        <rFont val="Times New Roman"/>
        <family val="1"/>
        <charset val="186"/>
      </rPr>
      <t>UF</t>
    </r>
    <r>
      <rPr>
        <sz val="8"/>
        <rFont val="Times New Roman"/>
        <family val="1"/>
        <charset val="186"/>
      </rPr>
      <t xml:space="preserve"> Užimtumo fondas</t>
    </r>
  </si>
  <si>
    <r>
      <t xml:space="preserve">VB </t>
    </r>
    <r>
      <rPr>
        <sz val="8"/>
        <rFont val="Times New Roman"/>
        <family val="1"/>
        <charset val="186"/>
      </rPr>
      <t>Valstybės biudžetas ir privatizavimo fondas</t>
    </r>
  </si>
  <si>
    <r>
      <t xml:space="preserve">SL </t>
    </r>
    <r>
      <rPr>
        <sz val="8"/>
        <rFont val="Times New Roman"/>
        <family val="1"/>
        <charset val="186"/>
      </rPr>
      <t>Skolintos lėšos</t>
    </r>
  </si>
  <si>
    <r>
      <t xml:space="preserve">PL </t>
    </r>
    <r>
      <rPr>
        <sz val="8"/>
        <rFont val="Times New Roman"/>
        <family val="1"/>
        <charset val="186"/>
      </rPr>
      <t>Privačios lėšos</t>
    </r>
  </si>
  <si>
    <r>
      <t xml:space="preserve">KL </t>
    </r>
    <r>
      <rPr>
        <sz val="8"/>
        <rFont val="Times New Roman"/>
        <family val="1"/>
        <charset val="186"/>
      </rPr>
      <t>Kitos lėšos</t>
    </r>
  </si>
  <si>
    <r>
      <t xml:space="preserve">TPP </t>
    </r>
    <r>
      <rPr>
        <sz val="8"/>
        <rFont val="Times New Roman"/>
        <family val="1"/>
        <charset val="186"/>
      </rPr>
      <t>Teikiamų paslaugų pajamos</t>
    </r>
  </si>
  <si>
    <t>VB-STD</t>
  </si>
  <si>
    <t xml:space="preserve"> 01 Siekti švietimo sistemos efektyvumo bei formaliojo ir neformaliojo ugdymo dermės </t>
  </si>
  <si>
    <t>SOCIALINĖS APSAUGOS PLĖTOJIMAS PROGRAMOS (NR. 2)</t>
  </si>
  <si>
    <t xml:space="preserve"> 03 Socialinių paslaugų centro veikla</t>
  </si>
  <si>
    <t xml:space="preserve"> 03 Užtikrinti socialinių paslaugų teikimą per Socialinių paslaugų centrą ir socialinių projektų vykdymą</t>
  </si>
  <si>
    <t>SVEIKATOS APSAUGOS PROGRAMOS (NR. 3)</t>
  </si>
  <si>
    <t>ES</t>
  </si>
  <si>
    <t>EKONOMINIO KONKURENCINGUMO DIDINIMAS (NR. 4)</t>
  </si>
  <si>
    <t xml:space="preserve"> 03 Kurti naujas darbo vietas, didinti gyventojų užimtumą</t>
  </si>
  <si>
    <t>ŽEMĖS ŪKIO PLĖTRA IR MELIORACIJA (NR. 5)</t>
  </si>
  <si>
    <t xml:space="preserve"> 02 Palaikyti tinkamą melioracijos sistemų techninę būklę</t>
  </si>
  <si>
    <t>APLINKOS, KRAŠTOVAIZDŽIO IR VIEŠOJI APSAUGA (NR. 6)</t>
  </si>
  <si>
    <t>SAARS</t>
  </si>
  <si>
    <t xml:space="preserve"> 02 Atnaujinti JPGT inventorių, būtiną funkcijoms vykdyti</t>
  </si>
  <si>
    <t xml:space="preserve"> 01 Užtikrinti viešąją tvarką </t>
  </si>
  <si>
    <t xml:space="preserve"> 03 Skatinti savivaldybės teritorijoje esančių pastatų atnaujinimą</t>
  </si>
  <si>
    <t>SAVIVALDYBĖS INFRASTRUKTŪROS OBJEKTŲ PRIEŽIŪRA, MODERNIZAVIMAS IR PLĖTRA (NR. 7)</t>
  </si>
  <si>
    <t>SAVIVALDYBĖS VALDYMAS IR PAGRINDINIŲ FUNKCIJŲ VYKDYMAS (NR. 8)</t>
  </si>
  <si>
    <t>PPT organizuotų seminarų skaičius (vnt.)</t>
  </si>
  <si>
    <t xml:space="preserve"> 01 Žmonių su proto ir kompleksine negalia globos užtikrinimas ir darbinis ugdymas Jonavos Neįgaliųjų veiklos centre</t>
  </si>
  <si>
    <t>Administracija</t>
  </si>
  <si>
    <t>KPPP</t>
  </si>
  <si>
    <t>Kulvos A.Kulviečio mok.</t>
  </si>
  <si>
    <t>L/d "Žilvitis"</t>
  </si>
  <si>
    <t>L/d "Lakštingalėlė"</t>
  </si>
  <si>
    <t>L/d "Pakalnutė"</t>
  </si>
  <si>
    <t>JKKSC</t>
  </si>
  <si>
    <t>Neįgaliųjų VC</t>
  </si>
  <si>
    <t>JPGT</t>
  </si>
  <si>
    <t>Miesto sen.</t>
  </si>
  <si>
    <t>Bukonių sen.</t>
  </si>
  <si>
    <t>Užusalių sen.</t>
  </si>
  <si>
    <t>Kulvos sen.</t>
  </si>
  <si>
    <t>Ruklos sen.</t>
  </si>
  <si>
    <t>Upninkų sen.</t>
  </si>
  <si>
    <t>Žeimių sen.</t>
  </si>
  <si>
    <t>Šilų sen.</t>
  </si>
  <si>
    <t>Kontrolės tarnyba</t>
  </si>
  <si>
    <t>D/m "Bitutė"</t>
  </si>
  <si>
    <t>L/d "Saulutė"</t>
  </si>
  <si>
    <t>L/d "Dobilas"</t>
  </si>
  <si>
    <t>J.Ralio gimnazija</t>
  </si>
  <si>
    <t>Senamiesčio gimnazija</t>
  </si>
  <si>
    <t>R.Samulevičiaus progimnazija</t>
  </si>
  <si>
    <t>J.Vareikio progimnazija</t>
  </si>
  <si>
    <t>Panoterių P.Vaičiūno pagr.mok.</t>
  </si>
  <si>
    <t>Užusalių pagr.mok</t>
  </si>
  <si>
    <t>Globos namai</t>
  </si>
  <si>
    <t>Soc. paslaugų centras</t>
  </si>
  <si>
    <t>Nakvynės namai</t>
  </si>
  <si>
    <t>Kultūros centras</t>
  </si>
  <si>
    <t xml:space="preserve"> 01 Viešosios bibliotekos veikla</t>
  </si>
  <si>
    <t>Biblioteka</t>
  </si>
  <si>
    <t>Vis.sveikatos biuras</t>
  </si>
  <si>
    <t>Suorganizuotų fotoparodų skaičius (vnt.)</t>
  </si>
  <si>
    <t>Jonavos prad.mok</t>
  </si>
  <si>
    <t>Šveicarijos pagr.mok</t>
  </si>
  <si>
    <t>PPT</t>
  </si>
  <si>
    <t>KL</t>
  </si>
  <si>
    <r>
      <t xml:space="preserve">VB (STD) </t>
    </r>
    <r>
      <rPr>
        <sz val="9"/>
        <rFont val="Times New Roman"/>
        <family val="1"/>
        <charset val="186"/>
      </rPr>
      <t>Valstybės biudžeto special. tikslinė dotacija</t>
    </r>
  </si>
  <si>
    <r>
      <t xml:space="preserve">ES </t>
    </r>
    <r>
      <rPr>
        <sz val="9"/>
        <rFont val="Times New Roman"/>
        <family val="1"/>
        <charset val="186"/>
      </rPr>
      <t>Europos Sąjungos lėšos, užsienio fondų lėšos</t>
    </r>
  </si>
  <si>
    <r>
      <t xml:space="preserve">SAARS </t>
    </r>
    <r>
      <rPr>
        <sz val="9"/>
        <rFont val="Times New Roman"/>
        <family val="1"/>
        <charset val="186"/>
      </rPr>
      <t>Aplinkos apsaugos rėmimo specialioji programa</t>
    </r>
  </si>
  <si>
    <r>
      <t xml:space="preserve">KPPP </t>
    </r>
    <r>
      <rPr>
        <sz val="9"/>
        <rFont val="Times New Roman"/>
        <family val="1"/>
        <charset val="186"/>
      </rPr>
      <t>Kelių priežiūros ir plėtros programa</t>
    </r>
  </si>
  <si>
    <r>
      <t>UF</t>
    </r>
    <r>
      <rPr>
        <sz val="9"/>
        <rFont val="Times New Roman"/>
        <family val="1"/>
        <charset val="186"/>
      </rPr>
      <t xml:space="preserve"> Užimtumo fondas</t>
    </r>
  </si>
  <si>
    <r>
      <t xml:space="preserve">VB </t>
    </r>
    <r>
      <rPr>
        <sz val="9"/>
        <rFont val="Times New Roman"/>
        <family val="1"/>
        <charset val="186"/>
      </rPr>
      <t>Valstybės biudžetas ir privatizavimo fondas</t>
    </r>
  </si>
  <si>
    <r>
      <t xml:space="preserve">SL </t>
    </r>
    <r>
      <rPr>
        <sz val="9"/>
        <rFont val="Times New Roman"/>
        <family val="1"/>
        <charset val="186"/>
      </rPr>
      <t>Skolintos lėšos</t>
    </r>
  </si>
  <si>
    <r>
      <t xml:space="preserve">PL </t>
    </r>
    <r>
      <rPr>
        <sz val="9"/>
        <rFont val="Times New Roman"/>
        <family val="1"/>
        <charset val="186"/>
      </rPr>
      <t>Privačios lėšos</t>
    </r>
  </si>
  <si>
    <r>
      <t xml:space="preserve">KL </t>
    </r>
    <r>
      <rPr>
        <sz val="9"/>
        <rFont val="Times New Roman"/>
        <family val="1"/>
        <charset val="186"/>
      </rPr>
      <t>Kitos lėšos</t>
    </r>
  </si>
  <si>
    <r>
      <t xml:space="preserve">TPP </t>
    </r>
    <r>
      <rPr>
        <sz val="9"/>
        <rFont val="Times New Roman"/>
        <family val="1"/>
        <charset val="186"/>
      </rPr>
      <t>Teikiamų paslaugų pajamos</t>
    </r>
  </si>
  <si>
    <r>
      <t xml:space="preserve">SB </t>
    </r>
    <r>
      <rPr>
        <sz val="9"/>
        <rFont val="Times New Roman"/>
        <family val="1"/>
        <charset val="186"/>
      </rPr>
      <t>Savivaldybės biudžetas</t>
    </r>
  </si>
  <si>
    <t>Valomų gatvių ir šaligatvių plotas (ha)</t>
  </si>
  <si>
    <t>Gautų skundų skaičius, dėl moterų ir vyrų lygių galimybių neužtikrinimo (vnt.)</t>
  </si>
  <si>
    <t xml:space="preserve"> 01 Išduoti beprocentines paskolas ir teikti negrąžintiną finansinę paramą smulkioms ir vidutinėms įmonėms bei ūkininkams</t>
  </si>
  <si>
    <t>"Lietavos" pagr.mokykla</t>
  </si>
  <si>
    <t>"Neries" pagr.mokykla</t>
  </si>
  <si>
    <t>Žeimių mokykla - DC</t>
  </si>
  <si>
    <t>Panoterių P.Vaičiūno pagr.mokykla</t>
  </si>
  <si>
    <t>Bukonių mokykla - DC</t>
  </si>
  <si>
    <t>Upninkų pagr.mokykla</t>
  </si>
  <si>
    <t>Ruklos J.Stanislausko mokykla - DC</t>
  </si>
  <si>
    <t>Kulvos A.Kulviečio pagr.mokykla</t>
  </si>
  <si>
    <t>Užusalių pagr.mokykla</t>
  </si>
  <si>
    <t>Šveicarijos pagr.mokykla</t>
  </si>
  <si>
    <t>Jonavos prad.mokykla</t>
  </si>
  <si>
    <t>Panerio prad.mokykla</t>
  </si>
  <si>
    <t>2019-ieji metai</t>
  </si>
  <si>
    <t>Šveicarijos sen.</t>
  </si>
  <si>
    <t xml:space="preserve"> 02 Kelių ir gatvių priežiūra Šveicarijos seniūnijoje</t>
  </si>
  <si>
    <t>Atliktų auditų skaičius (vnt.)</t>
  </si>
  <si>
    <t>Įgyvendintų rekomendacijų (proc.)</t>
  </si>
  <si>
    <t>Įgyvendintų administracinės naštos mažinimo priemonių skaičius (vnt.)</t>
  </si>
  <si>
    <t>Jonavos rajone veikiančių jaunimo ir su jaunimu dirbančių organizacijų skaičius (vnt.)</t>
  </si>
  <si>
    <t>Serverinės, kopijų darymo sistemų, licencijų skaičius (vnt.)</t>
  </si>
  <si>
    <t>Darželių registravimo programos administravimas (vnt.)</t>
  </si>
  <si>
    <t>Tarybos salės programos administravimas (vnt.)</t>
  </si>
  <si>
    <t>Buhalterinės programos Lobster administravimas (vnt.)</t>
  </si>
  <si>
    <t>Esri programinės įrangos ArGIS administravimas (vnt.)</t>
  </si>
  <si>
    <t>Buhalterinės programos ŽŪ modulio administravimas (vnt.)</t>
  </si>
  <si>
    <t>Interneto ryšys per infrastruktūrą (vnt.)</t>
  </si>
  <si>
    <t>Barupės mokykla</t>
  </si>
  <si>
    <t>Dokumentus perdavusių likviduotų įmonių skaičius (vnt.)</t>
  </si>
  <si>
    <t>Išduotų archyvo pažymų skaičius (vnt.)</t>
  </si>
  <si>
    <t>Priimtų užsienio delegacijų skaičius (vnt.)</t>
  </si>
  <si>
    <t>Vizitų į užsienį skaičius (vnt.)</t>
  </si>
  <si>
    <t>Suteiktų deklaravimo paslaugų skaičius (vnt.)</t>
  </si>
  <si>
    <t>Vaikų vasaros poilsio, socializacijos ir kt. programų, projektų skaičius (vnt.)</t>
  </si>
  <si>
    <t>Įsigytos mokyklinės dokumentacijos skaičius (vnt.)</t>
  </si>
  <si>
    <t>Suorganizuotų olimpiadų, renginių, metodinių išvykų skaičius (vnt.)</t>
  </si>
  <si>
    <t>Finansuotų jaunimo projektų skaičius (vnt.)</t>
  </si>
  <si>
    <t>Nuostolingų mokyklų skaičius (vnt.)</t>
  </si>
  <si>
    <t>Atlikta brandumo mokyklai įvertinimų skaičius (vnt.)</t>
  </si>
  <si>
    <t>Iš viso programos tikslui:</t>
  </si>
  <si>
    <t>Iš viso programai:</t>
  </si>
  <si>
    <t>Surengtų švenčių skaičius (vnt.)</t>
  </si>
  <si>
    <t>Surengtų konkursų skaičius (vnt.)</t>
  </si>
  <si>
    <t>Išduotų traktorių ir priekabų valstybinių numerių skaičius (vnt.)</t>
  </si>
  <si>
    <t>Išduotų registracijos liudijimų skaičius (vnt.)</t>
  </si>
  <si>
    <t>Išduotų techninės apžiūros talonų skaičius (vnt.)</t>
  </si>
  <si>
    <t>Suremontuoto drenažo plotas (ha)</t>
  </si>
  <si>
    <t>Parengtų rekomendacijų skaičius (vnt.)</t>
  </si>
  <si>
    <t>Įregistruotų gimimų skaičius (vnt.)</t>
  </si>
  <si>
    <t>Įregistruotų mirčių skaičius (vnt.)</t>
  </si>
  <si>
    <t>Įregistruotų santuokų skaičius (vnt.)</t>
  </si>
  <si>
    <t>Įregistruotų santuokų nutraukimo skaičius (vnt.)</t>
  </si>
  <si>
    <t>Įrašytų civilinės būklės akto įrašo papildymų, pakeitimų, ištaisymų įrašų skaičius (vnt.)</t>
  </si>
  <si>
    <t>Patikrintų įstaigų skaičius (vnt.)</t>
  </si>
  <si>
    <t>Civilinės saugos mokymų skaičius (vnt.)</t>
  </si>
  <si>
    <t>Nemokamai suteiktų teisinės pagalbos konsultacijų skaičius (vnt.)</t>
  </si>
  <si>
    <t>Surašytų prašymų skaičius antrinei teisinei pagalbai gauti (vnt.)</t>
  </si>
  <si>
    <t>Jonavos rajono seniūnijų seniūnaitijų seniūnaičių skaičius (vnt.)</t>
  </si>
  <si>
    <t>Nedarbo lygis (proc.)</t>
  </si>
  <si>
    <t>Tikslinių grupių asmenų, gavusių tiesioginės naudos iš investicijų į socialinių paslaugų infrastruktūrą globos namuose skaičius (vnt.)</t>
  </si>
  <si>
    <t>Įsigytų socialinių būstų skaičius (vnt.)</t>
  </si>
  <si>
    <t>Renovuotų daugiabučių namų skaičius (vnt.)</t>
  </si>
  <si>
    <t>Įrengtų antžeminių/pusiau požeminių aikštelių, skaičius (vnt.)</t>
  </si>
  <si>
    <t>Valdant ekstremalias situacijas, atliktų reikalingų aplinkos tyrimų skaičius (vnt.)</t>
  </si>
  <si>
    <t>Želdinių apsauga tepant repelentais plotas (ha)</t>
  </si>
  <si>
    <t>Aplinkosauginių renginių skaičius (vnt.)</t>
  </si>
  <si>
    <t>Informacinių leidinių skaičius  (vnt.)</t>
  </si>
  <si>
    <t>Įžuvintų vandens telkinių skaičius (vnt.)</t>
  </si>
  <si>
    <t>Įgyvendintų priemonių skaičius (vnt.)</t>
  </si>
  <si>
    <t>Vidutinis gaisrų skaičius (vnt.)</t>
  </si>
  <si>
    <t>Įsigytų gaisrinių automobilių skaičius (vnt.)</t>
  </si>
  <si>
    <t>Priemonių, vykdomų įgyvendinant Visuomenės sveikatos rėmimo specialiąją programą skaičius (vnt.)</t>
  </si>
  <si>
    <t>Prižiūrimų ir tvarkomų kapinių plotas (ha)</t>
  </si>
  <si>
    <t>Vietinių kelių ilgis Kulvos seniūnijoje (km)</t>
  </si>
  <si>
    <t>Vietinių kelių ilgis Ruklos seniūnijoje (km)</t>
  </si>
  <si>
    <t>Vietinių kelių ilgis Šilų seniūnijoje (km)</t>
  </si>
  <si>
    <t>Vietinių kelių ilgis Upninkų seniūnijoje (km)</t>
  </si>
  <si>
    <t>Vietinių kelių ilgis Užusalių seniūnijoje (km)</t>
  </si>
  <si>
    <t>Vietinių kelių ilgis Žeimių seniūnijoje (km)</t>
  </si>
  <si>
    <t>Liftų ir keltuvų, kuriems buvo atlikta aptarnavimo paslauga skaičius (vnt.)</t>
  </si>
  <si>
    <t>04 Mokėti globos (rūpybos) išmokas</t>
  </si>
  <si>
    <t>Fondo panaudojimas (proc.)</t>
  </si>
  <si>
    <t>Rezervo panaudojimo (proc.)</t>
  </si>
  <si>
    <t xml:space="preserve"> 04 Teikti socialinę paramą mokiniams už įsigytus produktus  
</t>
  </si>
  <si>
    <t>Neįgaliųjų veiklos centro paslaugų gavėjų skaičius (vnt.)</t>
  </si>
  <si>
    <t>Suteiktų miesto pirties ir viešojo tualeto paslaugų skaičius (vnt.)</t>
  </si>
  <si>
    <t>Suteiktų kompleksinės pagalbos šeimoms paslaugų skaičius (vnt.)</t>
  </si>
  <si>
    <t>Teikiamų socialinių paslaugų skaičius (vnt.)</t>
  </si>
  <si>
    <t>Suorganizuotų renginių skaičius (vnt.)</t>
  </si>
  <si>
    <t>Išduotų paskolų skaičius (vnt.)</t>
  </si>
  <si>
    <t>09 Kelių ir gatvių priežiūra Žeimių seniūnijoje</t>
  </si>
  <si>
    <t>11 Prisidėjimas prie Lietuvos automobilių kelių direkcijos lėšomis finansuojamų objektų (netinkamos išlaidos)</t>
  </si>
  <si>
    <t>Sutvarkytų daugiabučių kiemų skaičius (vnt.)</t>
  </si>
  <si>
    <t>Prižiūrimų ir tvarkomų viešųjų erdvių plotas (ha)</t>
  </si>
  <si>
    <t>Finansuotų bendruomeninių projektų skaičius (vnt.)</t>
  </si>
  <si>
    <r>
      <t xml:space="preserve">SB </t>
    </r>
    <r>
      <rPr>
        <sz val="10"/>
        <rFont val="Times New Roman"/>
        <family val="1"/>
        <charset val="186"/>
      </rPr>
      <t>Savivaldybės biudžetas</t>
    </r>
  </si>
  <si>
    <r>
      <t xml:space="preserve">VB (STD) </t>
    </r>
    <r>
      <rPr>
        <sz val="10"/>
        <rFont val="Times New Roman"/>
        <family val="1"/>
        <charset val="186"/>
      </rPr>
      <t>Valstybės biudžeto special. tikslinė dotacija</t>
    </r>
  </si>
  <si>
    <r>
      <t xml:space="preserve">ES </t>
    </r>
    <r>
      <rPr>
        <sz val="10"/>
        <rFont val="Times New Roman"/>
        <family val="1"/>
        <charset val="186"/>
      </rPr>
      <t>Europos Sąjungos lėšos, užsienio fondų lėšos</t>
    </r>
  </si>
  <si>
    <r>
      <t xml:space="preserve">SAARS </t>
    </r>
    <r>
      <rPr>
        <sz val="10"/>
        <rFont val="Times New Roman"/>
        <family val="1"/>
        <charset val="186"/>
      </rPr>
      <t>Aplinkos apsaugos rėmimo specialioji programa</t>
    </r>
  </si>
  <si>
    <r>
      <t xml:space="preserve">KPPP </t>
    </r>
    <r>
      <rPr>
        <sz val="10"/>
        <rFont val="Times New Roman"/>
        <family val="1"/>
        <charset val="186"/>
      </rPr>
      <t>Kelių priežiūros ir plėtros programa</t>
    </r>
  </si>
  <si>
    <r>
      <rPr>
        <b/>
        <sz val="10"/>
        <rFont val="Times New Roman"/>
        <family val="1"/>
        <charset val="186"/>
      </rPr>
      <t>UF</t>
    </r>
    <r>
      <rPr>
        <sz val="10"/>
        <rFont val="Times New Roman"/>
        <family val="1"/>
        <charset val="186"/>
      </rPr>
      <t xml:space="preserve"> Užimtumo fondas</t>
    </r>
  </si>
  <si>
    <r>
      <t xml:space="preserve">VB </t>
    </r>
    <r>
      <rPr>
        <sz val="10"/>
        <rFont val="Times New Roman"/>
        <family val="1"/>
        <charset val="186"/>
      </rPr>
      <t>Valstybės biudžetas ir privatizavimo fondas</t>
    </r>
  </si>
  <si>
    <r>
      <t xml:space="preserve">SL </t>
    </r>
    <r>
      <rPr>
        <sz val="10"/>
        <rFont val="Times New Roman"/>
        <family val="1"/>
        <charset val="186"/>
      </rPr>
      <t>Skolintos lėšos</t>
    </r>
  </si>
  <si>
    <r>
      <t xml:space="preserve">PL </t>
    </r>
    <r>
      <rPr>
        <sz val="10"/>
        <rFont val="Times New Roman"/>
        <family val="1"/>
        <charset val="186"/>
      </rPr>
      <t>Privačios lėšos</t>
    </r>
  </si>
  <si>
    <r>
      <t xml:space="preserve">KL </t>
    </r>
    <r>
      <rPr>
        <sz val="10"/>
        <rFont val="Times New Roman"/>
        <family val="1"/>
        <charset val="186"/>
      </rPr>
      <t>Kitos lėšos</t>
    </r>
  </si>
  <si>
    <r>
      <t xml:space="preserve">TPP </t>
    </r>
    <r>
      <rPr>
        <sz val="10"/>
        <rFont val="Times New Roman"/>
        <family val="1"/>
        <charset val="186"/>
      </rPr>
      <t>Teikiamų paslaugų pajamos</t>
    </r>
  </si>
  <si>
    <t>Finansuotų  projektų skaičius (vnt.)</t>
  </si>
  <si>
    <t>Suorganizuotų kultūros renginių skaičius Jonavos mieste (vnt.)</t>
  </si>
  <si>
    <t>Suorganizuotų kultūros renginių skaičius kaimiškosiose seniūnijose (vnt.)</t>
  </si>
  <si>
    <t>Eksponatų skaičius muziejuje (vnt.)</t>
  </si>
  <si>
    <t>Muziejaus siūlomų maršrutų skaičius (ekskursijų paslaugos) (vnt.)</t>
  </si>
  <si>
    <t>Suorganizuotų teatro renginių skaičius (vnt.)</t>
  </si>
  <si>
    <t>Suorganizuotų rajoninių renginių, koncertų ir konkursų skaičius (vnt.)</t>
  </si>
  <si>
    <t>Suorganizuotų tarptautinių ir Respublikinių renginių koncertų ir konkursų skaičius (vnt.)</t>
  </si>
  <si>
    <t>2020-ieji metai</t>
  </si>
  <si>
    <t xml:space="preserve"> 01 Organizuoti ir užtikrinti socialinę paramą</t>
  </si>
  <si>
    <t xml:space="preserve"> 01 Kelionės išlaidų kompensavimas už lengvatinį keleivių vežimą</t>
  </si>
  <si>
    <t>Išlaikomų pastatų skaičius (vnt.)</t>
  </si>
  <si>
    <t>Kvalifikacijos kėlimo seminarų skaičius (val./1 asm.)</t>
  </si>
  <si>
    <t>Administracijos teikiamų elektroninių paslaugų skaičius (vnt.)</t>
  </si>
  <si>
    <t>Gautų gyventojų prašymų ir pateiktų atsakymų santykis (proc.)</t>
  </si>
  <si>
    <t>Savivaldybės institucijų ir įstaigų, įgyvendinusių paslaugų ir (ar) aptarnavimo kokybei gerinti skirtas priemones, skaičius (vnt.)</t>
  </si>
  <si>
    <t>Savivaldybės institucijų ir įstaigų, darbuotojai, kurie dalyvavo vykdytose veiklose, skirtose stiprinti teikiamų paslaugų ir (ar) aptarnavimo kokybės gerinimui reikalingas kompetencijas, skaičius (vnt.)</t>
  </si>
  <si>
    <t xml:space="preserve"> 01 Garantuoti tinkamą Savivaldybės funkcijų atlikimą</t>
  </si>
  <si>
    <t xml:space="preserve"> 01 Sudaryti sąlygas kokybiškai įgyvendinti Savivaldybės funkcijas, mažinant administracinę naštą                  </t>
  </si>
  <si>
    <t>Suteiktų duomenų skaičius (vnt.)</t>
  </si>
  <si>
    <t xml:space="preserve"> 01 Civilinės būklės aktų registravimas</t>
  </si>
  <si>
    <t>Asmenų, kurių neveiksnumas peržiūrėtas, skaičius (vnt.)</t>
  </si>
  <si>
    <t xml:space="preserve"> 03 Vykdant savarankiškąsias savivaldybės funkcijas teikti informaciją bendruomenės nariams, palaikyti ir stiprinti Jonavos rajono įvaizdį</t>
  </si>
  <si>
    <t xml:space="preserve"> 01 Užtikrinti savivaldybės veiklos viešumą</t>
  </si>
  <si>
    <t xml:space="preserve"> 01 Reprezentuoti Jonavą užsienio valstybių asmenų, delegacijų, svečių ir juos lydinčių asmenų priėmimui ir komandiruotėms, darbo susitikimams, atminimo dovanoms, dalyvavimui labdaros, kultūros, sporto ir kituose visuomeniniuose renginiuose</t>
  </si>
  <si>
    <t xml:space="preserve">Sudarytų sutarčių skaičius su rajonine spauda (vnt.)  </t>
  </si>
  <si>
    <t xml:space="preserve">Sudarytų sutarčių skaičius su respublikine spauda (vnt.)  </t>
  </si>
  <si>
    <t xml:space="preserve">Sudarytų sutarčių skaičius su informaciniais portalais (vnt.)  </t>
  </si>
  <si>
    <t xml:space="preserve">Sudarytų sutarčių skaičius su rajono televizija(vnt.)  </t>
  </si>
  <si>
    <t xml:space="preserve"> 02 Plėtojant dalykinius santykius ir ryšius su tarptautinėmis ir vietinėmis institucijomis bei organizacijomis, stiprinti rajono įvaizdį</t>
  </si>
  <si>
    <t>Programų, kuriose dalyvauja Savivaldybė, skaičius (vnt.)</t>
  </si>
  <si>
    <t xml:space="preserve"> 03 Užtikrinti finansavimą nenumatytoms išlaidoms dengti</t>
  </si>
  <si>
    <t>03 Teikti informaciją respublikinei, rajono spaudai bei televizijai ir savivaldybės reprezentaciniam filmui apie Jonavos rajoną</t>
  </si>
  <si>
    <t>02 Rengti fotoparodas savivaldybės administracijos pastato II a.</t>
  </si>
  <si>
    <t xml:space="preserve"> 01 Seniūnaičių veiklos išlaidų dengimas</t>
  </si>
  <si>
    <t>Įsipareigojimų vykdymas (proc.)</t>
  </si>
  <si>
    <t xml:space="preserve"> 01 Tarptautinio bendradarbiavimo projektų su kitomis valstybėmis dalinis finansavimas</t>
  </si>
  <si>
    <t>Įgyvendinamų tarptautino bendradarboavimo projektų su kitomis valstybėmis skaičius (vnt.)</t>
  </si>
  <si>
    <t>Parengtų galimybių studijų skaičius (vnt.)</t>
  </si>
  <si>
    <t>Parengtų investicinių projektų skaičius (vnt.)</t>
  </si>
  <si>
    <t>05 Valdyti prisiimtus finansinius įsipareigojimus</t>
  </si>
  <si>
    <t>01 Užtikrinti finansinių įsipareigojimų vykdymą</t>
  </si>
  <si>
    <t>07 Kurti palankią aplinką rajono nevyriausybinėms organizacijoms (įskaitant ir vietos bendruomenines organizacijas), užtikrinant tinkamas jų veiklos ir plėtros sąlygas</t>
  </si>
  <si>
    <t>01 Sudaryti sąlygas ilgalaikei rajono nevyriausybinių organizacijų (įskaitant ir vietos bendruomenines organizacijas) plėtrai</t>
  </si>
  <si>
    <t xml:space="preserve">02 Galimybių studijų, investicinių projektų ir kitų dokumentų rengimas </t>
  </si>
  <si>
    <t>Įgyvendinamų projektų skaičius Jonavos mieste (vnt.)</t>
  </si>
  <si>
    <t>Įgyvendinamų projektų skaičius Jonavos rajone (vnt.)</t>
  </si>
  <si>
    <t>01 Bendruomenių projektų dalinis finansavimas</t>
  </si>
  <si>
    <t xml:space="preserve"> 04 Plėtoti mėgėjų teatro veiklą</t>
  </si>
  <si>
    <t>Viešosios bibliotekos suorganizuotų renginių, parodų skaičius (vnt.)</t>
  </si>
  <si>
    <t>Viešosios bibliotekos įsigytų naujų dokumentų: knygų, serialinių, periodinių  leidinių ir kt. skaičius (egz.)</t>
  </si>
  <si>
    <t>Leidžiamo leidinio Taurosta tiražas (2 k./m.), vnt.</t>
  </si>
  <si>
    <t>Suorganizuotų edukacinių pamokų muziejuje ir jo skyriuose skaičius (val.)</t>
  </si>
  <si>
    <t>Suorganizuotų renginių muziejuje ir jo skyriuose skaičius (vnt.)</t>
  </si>
  <si>
    <t xml:space="preserve"> 01 Mokėti vienkartines pašalpas</t>
  </si>
  <si>
    <t xml:space="preserve"> 08 Mokėti išmokas neįgaliesiems</t>
  </si>
  <si>
    <t>Dalyvavimų projektinėje veikloje skaičius  (vnt.)</t>
  </si>
  <si>
    <t>Dalyvavimų kitų rengtuose renginiuose skaičius (vnt.)</t>
  </si>
  <si>
    <t>Įstaigoje surengtų renginių skaičius (vnt.)</t>
  </si>
  <si>
    <t>Vykdomų  funkcijų skaičius (vnt.)</t>
  </si>
  <si>
    <t xml:space="preserve"> 04 Europos pagalbos labiausiai skurstantiems asmenims fondo paramos maisto produktais programa </t>
  </si>
  <si>
    <t>Pritaikytų būstų skaičius neįgaliesiems (vnt.)</t>
  </si>
  <si>
    <t xml:space="preserve"> 01 Kompensuoti gyventojams, turintiems mažas pajamas, būsto šildymo išlaidas, išlaidas šaltam vandeniui bei nuotėkoms ir išlaidas karštam vandeniui ir kt.</t>
  </si>
  <si>
    <t xml:space="preserve">06 Mokėti vienkartines išmokas nėščioms moterims </t>
  </si>
  <si>
    <t>05 Mokėti vienkartines išmokas būstui įsigyti arba įsikurti (našlaičiams)</t>
  </si>
  <si>
    <t>03 Mokėti išmokas privalomosios tarnybos karių vaikams</t>
  </si>
  <si>
    <t xml:space="preserve">02 Mokėti išmokas vaikams </t>
  </si>
  <si>
    <t xml:space="preserve">01 Mokėti vienkartinę išmoką gimus vaikui </t>
  </si>
  <si>
    <t>01 Socialinės apsaugos renginių programa</t>
  </si>
  <si>
    <t xml:space="preserve">01 Kompensacijos už šildymą, šaltą vandenį bei nuotekas ir karštą vandenį </t>
  </si>
  <si>
    <t xml:space="preserve"> 02 Užtikrinti vienkartinę paramą socialiai remtiniems asmenims, mažinti skurdą</t>
  </si>
  <si>
    <t xml:space="preserve"> 02 Socialinė globa asmenims su sunkia negalia</t>
  </si>
  <si>
    <t xml:space="preserve"> 06 Užtikrinti socialines paslaugas, gyvenantiems namuose neįgaliesiems</t>
  </si>
  <si>
    <t xml:space="preserve"> 01 Skatinti visuomenės aktyvumą sveikatinimo veikloje</t>
  </si>
  <si>
    <t xml:space="preserve"> 01 Stiprinti visuomenės sveikatos priežiūrą, ugdyti sveiką visuomenę</t>
  </si>
  <si>
    <t xml:space="preserve"> 01 Vykdyti visuomenės sveikatos rėmimo specialiąją programą </t>
  </si>
  <si>
    <t>Projekto įgyvendinimas (proc.)</t>
  </si>
  <si>
    <t>01 Vykdyti Jonavos rajono savivaldybės teritorijos planavimo ir projektavimo darbus</t>
  </si>
  <si>
    <t>Nuostolingų maršrutų skaičius (vnt.)</t>
  </si>
  <si>
    <t>Atliktų patikrinimų skaičius (vnt.)</t>
  </si>
  <si>
    <t>Suteiktos paslaugos verslui (val.)</t>
  </si>
  <si>
    <t xml:space="preserve"> 04 Gerinti investicinę aplinką, didinti savivaldybės patrauklumą verslui</t>
  </si>
  <si>
    <t>Suteiktų apdovanojimų skaičius (vnt.)</t>
  </si>
  <si>
    <t>02 UAB "Jonavos autobusai"  keleivių vežimo nuostolių dengimas (subsidijos)</t>
  </si>
  <si>
    <t xml:space="preserve"> 01 Parengti Jonavos rajono savivaldybei reikalingus teritorijų planavimo dokumentus</t>
  </si>
  <si>
    <t xml:space="preserve"> 01 Ugdyti žemdirbių profesinį meistriškumą</t>
  </si>
  <si>
    <t xml:space="preserve"> 02 Skatinti ūkininkus tobulinti ir plėsti savo ūkinę veiklą</t>
  </si>
  <si>
    <t>Suremontuotų užtvankų skaičius (vnt.)</t>
  </si>
  <si>
    <t>01 Darbo rinkos politikos rengimas ir įgyvendinimas</t>
  </si>
  <si>
    <t>Straipsniai, informaciniai pranešimai, publikacijos periodiniuose leidiniuose, internete, leidiniai (stendai, plakatai, TV ir radijo laidos, video- ir audiosiužetai (vnt.)</t>
  </si>
  <si>
    <t>Savivaldybės stebėtų visuomenės sveikatos stebėsenos rodiklių skaičius (vnt.)</t>
  </si>
  <si>
    <t>01 Būsto nuomos dalies kompensacijos</t>
  </si>
  <si>
    <t>02 Savivaldybės tuščių butų išlaikymas, iškeldinimo išlaidos, išlaidos už suteiktas komunalinius mokesčius</t>
  </si>
  <si>
    <t>05 Trečiojo amžiaus universiteto veiklos rėmimas</t>
  </si>
  <si>
    <t>Įsigytų naujų stebėjimo kamerų skaičius (vnt.)</t>
  </si>
  <si>
    <t>Įsigytų išmaniųjų apyrankių skaičius (vnt.)</t>
  </si>
  <si>
    <t>Batėgalos UDC</t>
  </si>
  <si>
    <t>Įgyvendintų darnaus judumo priemonių skaičius (vnt.)</t>
  </si>
  <si>
    <t>Įrengtų elektromobilių įkrovimo stotelių skaičius (vnt.)</t>
  </si>
  <si>
    <t>Atnaujintų ikimokyklinio ir/ar priešmokyklinio ugdymo grupių skaičius (vnt.)</t>
  </si>
  <si>
    <t>Sukurtų naujų ikimokyklinio ir priešmokyklinio ugdymo vietų skaičius (vnt.)</t>
  </si>
  <si>
    <t>Modernizuotas pastatas</t>
  </si>
  <si>
    <t>Suremontuotų klasių grindų plotas (m2)</t>
  </si>
  <si>
    <t>Įrengtų žaidimų, laisvalaikio ir sporto zonų skaičius (vnt.)</t>
  </si>
  <si>
    <t>Miesto seniūnija</t>
  </si>
  <si>
    <t>02 Miesto stadiono žiūrovų tribūnų ir bėgimo takų įrengimas</t>
  </si>
  <si>
    <t xml:space="preserve"> 02 Daugiabučių gyvenamųjų namų rėmimo fondas</t>
  </si>
  <si>
    <t xml:space="preserve"> 03 Renovuotų ES paramos lėšomis daugiabučių namų bankrutavusių įmonių  defektų taisymas</t>
  </si>
  <si>
    <t>Daugiabučių namų skaičius, kuriems atlikti defektų taisymai (vnt.)</t>
  </si>
  <si>
    <t>03 Jonavos neįgaliųjų veiklos centro veiklos gerinimas</t>
  </si>
  <si>
    <t>Parengtų ataskaitų ir auditų skaičius (vnt.)</t>
  </si>
  <si>
    <t>Pastatų skaičius, kuriems atliktas remontas (vnt.)</t>
  </si>
  <si>
    <t>Kultivuojamų sporto šakų skaičius (vnt.)</t>
  </si>
  <si>
    <t>Įvykdytų sporto renginių skaičius (vnt.)</t>
  </si>
  <si>
    <t>Teikiamų sporto paslaugų skaičius (vnt.)</t>
  </si>
  <si>
    <t>Įvykdytų atskirų sporto šakų rajono pirmenybių skaičius (vnt.)</t>
  </si>
  <si>
    <t>Vaikų ir jaunimo ugdymo programų skaičius (vnt.)</t>
  </si>
  <si>
    <t>Vykdytų seniūnijų sporto žaidynių varžybų skaičius (vnt.)</t>
  </si>
  <si>
    <t>Sporto organizatorių skaičius (vnt.)</t>
  </si>
  <si>
    <t>Projektas 2020 metams</t>
  </si>
  <si>
    <t>2020-ųjų metų lėšų projektas, tūkst. Eur</t>
  </si>
  <si>
    <t>"Sveikatos apsauga"                                      3.1. priedas</t>
  </si>
  <si>
    <t>"Žemės ūkio plėtra ir melioracija"                      5.1. priedas</t>
  </si>
  <si>
    <t>"Aplinkos, kraštovaizdžio ir viešoji apsauga"  6.1. priedas</t>
  </si>
  <si>
    <t>"Ekonominio konkurencingumo didinimas"        4.1. priedas</t>
  </si>
  <si>
    <t>"Socialinės apsaugos plėtojimas"       2.1. priedas</t>
  </si>
  <si>
    <t xml:space="preserve">"Savivaldybės infrastruktūros objektų priežiūra, modernizavimas ir plėtra"                        </t>
  </si>
  <si>
    <t xml:space="preserve">7.1. priedas </t>
  </si>
  <si>
    <t>Pakeistų gatvių šviestuvų skaičius (vnt.)</t>
  </si>
  <si>
    <t>Įsigyta traktorinė priekaba (vnt.)</t>
  </si>
  <si>
    <t>Sutvirtinta asfalto danga (km)</t>
  </si>
  <si>
    <t>Renovuota apšvietimo sistema (m)</t>
  </si>
  <si>
    <t>Įrengtų kolumbariumo sekcijų skaičius (vnt.)</t>
  </si>
  <si>
    <t>"Savivaldybės valdymas ir pagrindinių funkcijų vykdymas"</t>
  </si>
  <si>
    <t xml:space="preserve"> 01 Paskolų mokėjimas pagal pasirašytas paskolų grąžinimo sutartis ir kitų finansinių įsipareigojimų vykdymas </t>
  </si>
  <si>
    <t xml:space="preserve">Jonavos rajono savivaldybės 2019-2021-ųjų metų </t>
  </si>
  <si>
    <t xml:space="preserve">2019-2021 M. JONAVOS RAJONO SAVIVALDYBĖS </t>
  </si>
  <si>
    <t>2021-ieji metai</t>
  </si>
  <si>
    <t xml:space="preserve"> 01 Užtikrinti Visuomenės sveikatos stiprinimą ir stebėseną</t>
  </si>
  <si>
    <t>03 Projekto "Jonavos rajono savivaldybės gyventojų ligų profilaktikos, prevencijos ir ankstyvosios diagnostikos paslaugų kokybės ir prieinamumo gerinimas" įgyvendinimas</t>
  </si>
  <si>
    <t>04 Projekto "Ambulatorinių sveikatos priežiūros paslaugų prieinamumo gerinimas Jonavos rajone tuberkulioze sergantiems asmenims" įgyvendinimas</t>
  </si>
  <si>
    <t>05 Projekto "Visuomenės sveikatos stiprinimas Jonavos rajone" įgyvendinimas</t>
  </si>
  <si>
    <t>06 Projekto "Jaunimui palankių paslaugų modelio diegimas Jonavos savivaldybėje" įgyvendinimas</t>
  </si>
  <si>
    <t>07 Savižudybių prevencijos prioritetų nustatymas, ilgojo ir trumpojo laikotarpių savižudybių prevencijos priemonių planavimas</t>
  </si>
  <si>
    <t>Įsigyti duomenys (kompl. )</t>
  </si>
  <si>
    <t>L/d "Bitutė"</t>
  </si>
  <si>
    <t>Jonavos "Neries" pagr.mokykla</t>
  </si>
  <si>
    <t>Jonavos r. Upninkų pagr.mokykla</t>
  </si>
  <si>
    <t>Barupės mokykla - DC</t>
  </si>
  <si>
    <t>Suaugusiųjų švietimo programa (VšĮ Jonavos SŠC)</t>
  </si>
  <si>
    <t>Jonavos r. Upninkų pagr.mok.</t>
  </si>
  <si>
    <t>L/d"Bitutė"</t>
  </si>
  <si>
    <t>06 Jaunimo organizacijų projektų finansavimas</t>
  </si>
  <si>
    <t>10 Studijų rėmimo fondas</t>
  </si>
  <si>
    <t>09 ES parama neformaliajam vaikų švietimui</t>
  </si>
  <si>
    <t>Įsigytos įrangos skaičius (vnt.)</t>
  </si>
  <si>
    <t xml:space="preserve"> 02 Modernizuojant bibliotekas ir gerinti gyventojų informacinį aprūpinimą</t>
  </si>
  <si>
    <t xml:space="preserve"> 03 Išsaugoti istorinę atmintį, ją skleisti visuomenei</t>
  </si>
  <si>
    <t>Janinos Miščiukaitės meno mokykla</t>
  </si>
  <si>
    <t xml:space="preserve"> 01 Ugdymo aplinkos finansavimas Jonavos Kūno kultūros ir sporto centre</t>
  </si>
  <si>
    <t xml:space="preserve"> 01 Kaimo seniūnijų sporto organizavimas</t>
  </si>
  <si>
    <t xml:space="preserve"> 02 Skatinti smulkaus ir vidutinio verslo bei ūkininkų ūkių plėtrą, gyventojų verslumą, gerinti investicinę aplinką</t>
  </si>
  <si>
    <t xml:space="preserve"> 01 Finansuoti ir prižiūrėti pavaldžias bendrojo ugdymo mokyklas, siekiant užtikrinti lygias mokymosi galimybes </t>
  </si>
  <si>
    <t xml:space="preserve"> 03 Tobulinti ugdymo(-si) kokybę             </t>
  </si>
  <si>
    <t xml:space="preserve"> 01 Panaudoti centralizuotą fondą švietimo reikmėms</t>
  </si>
  <si>
    <t xml:space="preserve"> 02 Teikti tinkamą pedagoginę ir psichologinę pagalbą</t>
  </si>
  <si>
    <t xml:space="preserve"> 04 Užtikrinti kultūros veiklos sklaidą ir didinti jos vaidmenį bendruomenės gyvenime </t>
  </si>
  <si>
    <t xml:space="preserve"> 05 Ugdyti meninę veiklą</t>
  </si>
  <si>
    <t xml:space="preserve"> 05 Užtikrinti kūno kultūros ir sporto centro funkcionavimą, jo strateginių tikslų vykdymą bei didinti gyventojų fizinį aktyvumą</t>
  </si>
  <si>
    <t xml:space="preserve"> 01 Plėtoti kūno kultūrą ir sportą</t>
  </si>
  <si>
    <t xml:space="preserve"> 02 Įgyvendinti sveikatingumo ir sporto programą</t>
  </si>
  <si>
    <t>03 Skatinti sportinę veiklą kaimo vietovėse</t>
  </si>
  <si>
    <t>Asignavimai 2018 metams (planas)</t>
  </si>
  <si>
    <t>Asignavimai biudžetiniams 2019 metams</t>
  </si>
  <si>
    <t>Projektas 2021 metams</t>
  </si>
  <si>
    <t xml:space="preserve"> 01 Užtikrinti melioruotų žemių savininkams ir naudotojams kokybiškos sausinimo paslaugos teikimą</t>
  </si>
  <si>
    <t xml:space="preserve"> 01 Gyvenviečių drenažo sistemų remontas </t>
  </si>
  <si>
    <t>Rekonstruotų užtvankų skaičius (vnt.)</t>
  </si>
  <si>
    <t xml:space="preserve"> 02 Avarinės būklės melioracijos statinių remontas</t>
  </si>
  <si>
    <t>2019-ųjų metų asignavimų planas, tūkst. Eur</t>
  </si>
  <si>
    <t>2021-ųjų metų lėšų projektas, tūkst. Eur</t>
  </si>
  <si>
    <t>Parengtų techninių projektų skaičius (vnt.)</t>
  </si>
  <si>
    <t>Parengtų teritorijų planavimo dokumentų skaičius (vnt.)</t>
  </si>
  <si>
    <t>Parengta Jonavos rajono savivaldybės teritorijos bendrojo plano keitimo darbų programa (vnt.)</t>
  </si>
  <si>
    <t>Parengtų projektų skaičius (vnt.)</t>
  </si>
  <si>
    <t xml:space="preserve"> 06 Melioracijos statinių techninių projektų, eksploatavimo taisyklių parengimas</t>
  </si>
  <si>
    <t xml:space="preserve"> 08 Statybos leidimų gavimas</t>
  </si>
  <si>
    <t>Gautų statybos leidimų skaičius (vnt.)</t>
  </si>
  <si>
    <t xml:space="preserve"> 01 Gerinti aplinkos kokybę ir užtikrinti jos apsaugą </t>
  </si>
  <si>
    <t xml:space="preserve"> 02 Siekti išvengti medžiojamųjų gyvūnų daromos žalos miškui</t>
  </si>
  <si>
    <t>03 Didinti visuomenės informavimą apie aplinkos apsaugą ir ugdyti ekologiškai mąstančią visuomenę</t>
  </si>
  <si>
    <t>Atlikta inventorizacija (vnt.)</t>
  </si>
  <si>
    <t>Atnaujintas nekilnojamojo turto registras (vnt.)</t>
  </si>
  <si>
    <t xml:space="preserve"> 01 Priemonės, kuriomis kompensuojama aplinkai daroma žala (ekstremalių situacijų valdymas, reikalingi aplinkos tyrimai ir pan.)</t>
  </si>
  <si>
    <t xml:space="preserve"> 03 Priemonės vandentvarkos objektams projektuoti, statyti, rekonstruoti, remontuoti, eksploatuoti</t>
  </si>
  <si>
    <t xml:space="preserve"> 04 Priemonės atliekų tvarkymo infrastruktūros plėtrai</t>
  </si>
  <si>
    <t xml:space="preserve"> 05 Priemonės atliekų tvarkymui, kurių turėtojo neįmanoma nustatyti arba kuris nebeegzistuoja</t>
  </si>
  <si>
    <t>Jonavos rajono vandens tiekimo ir nuotekų tvarkymo infrastruktūros specialiojo plano pakeitimas (vnt.)</t>
  </si>
  <si>
    <t>Pastatytų vandentvarkos objektų skaičius (vnt.)</t>
  </si>
  <si>
    <t xml:space="preserve"> 02 Užtikrinti viešąją tvarką ir gyventojų saugumą</t>
  </si>
  <si>
    <t xml:space="preserve"> 02 Vaizdo kamerų priežiūra ir plėtra</t>
  </si>
  <si>
    <t>Įsigyto inventoriaus skaičius (vnt.)</t>
  </si>
  <si>
    <t xml:space="preserve"> 03 Perspėjimo sirenomis sistemos modernizavimas</t>
  </si>
  <si>
    <t>Modernizuota perspėjimo sirenomis sistema (vnt.)</t>
  </si>
  <si>
    <t xml:space="preserve"> 02 Invazinių Lietuvoje rūšių sąraše esančių rūšių (Sosnovskio barštis ir pan.) kontrolės įgyvendinimo darbai</t>
  </si>
  <si>
    <t>Įrengtų tūrio daviklių atliekų pusiau požeminiuose konteineriuose skaičius (vnt.)</t>
  </si>
  <si>
    <t xml:space="preserve"> 01 Aplinkosauginis visuomenės švietimas ir kvalifikacijos kėlimas</t>
  </si>
  <si>
    <t xml:space="preserve"> 02 Medžių atsodinimas ir naujų želdynų kūrimas</t>
  </si>
  <si>
    <t xml:space="preserve"> 03 Jonavos rajono savivaldybės teritorijoje esančių želdynų (parkų ir skverų) inventorizavimas</t>
  </si>
  <si>
    <t xml:space="preserve"> 04 Dengti su savivaldybės turto valdymu susijusias ir kitas išlaidas</t>
  </si>
  <si>
    <t>02 Socialinių išmokų ir kompensacijų skaičiavimas</t>
  </si>
  <si>
    <t>03 Duomenų teikimas Valstybės suteiktos pagalbos registrui</t>
  </si>
  <si>
    <t>04 Valstybinės kalbos vartojimo ir taisyklingumo kontrolės vykdymas</t>
  </si>
  <si>
    <t>05 Archyvinių dokumentų tvarkymas</t>
  </si>
  <si>
    <t>06 Gyventojų registro tvarkymas ir duomenų teikimas valstybės registrams</t>
  </si>
  <si>
    <t>07 Socialinės paramos mokiniams administravimas</t>
  </si>
  <si>
    <t xml:space="preserve">08 Civilinės saugos organizavimas </t>
  </si>
  <si>
    <t>09 Žemės ūkio funkcijų vykdymas</t>
  </si>
  <si>
    <t>10 Pirminės valstybės garantuojamos teisinės pagalbos teikimas</t>
  </si>
  <si>
    <t>11 Jaunimo teisių apsauga</t>
  </si>
  <si>
    <t xml:space="preserve"> 04 Savivaldybės tarybos narių ir administracijos darbuotojų mokymo programos vykdymas (kvalifikacijos kėlimas)</t>
  </si>
  <si>
    <t xml:space="preserve"> 06 Projekto "Paslaugų ir asmenų aptarnavimo kokybės gerinimas Jonavos rajono savivaldybės viešojoje bibliotekoje ir Jonavos rajono savivaldybės administracijoje" įgyvendinimas</t>
  </si>
  <si>
    <t xml:space="preserve"> 02 Savivaldybės administracijos direktoriaus rezervas</t>
  </si>
  <si>
    <t>02 Dalyvauti Kauno regiono plėtros agentūros veikloje (Kauno regiono plėtros agentūros vykdomų projektų įgyvendinimas)</t>
  </si>
  <si>
    <t>01 Dalyvauti Lietuvos savivaldybių asociacijos veikloje (LSA mokestis)</t>
  </si>
  <si>
    <t xml:space="preserve"> 03 Jonavos r. savivaldybės ilgalaikio strateginio plėtros plano parengimas</t>
  </si>
  <si>
    <t>Parengtas strateginis plėtros planas (vnt.)</t>
  </si>
  <si>
    <t>02 Jonavos vietos veiklos grupės plėtros strategijos rengimo ir įgyvendinimo dalinis finansavimas</t>
  </si>
  <si>
    <t>Renginių, skirtų pagalbai šeimoms, skaičius (vnt.)</t>
  </si>
  <si>
    <t>Paremtų programų skaičius (vnt.)</t>
  </si>
  <si>
    <t>Paskaitos, pamokos, diskusijos, debatai, konkursai, viktorinos, varžybos ir kiti viešieji renginiai (vnt.)</t>
  </si>
  <si>
    <t>Suremontuotų tiltų skaičius (vnt.)</t>
  </si>
  <si>
    <t>Suremontuotų pralaidų skaičius (vnt.)</t>
  </si>
  <si>
    <t>Prižiūrimų užtvankų skaičius rajone (vnt.)</t>
  </si>
  <si>
    <t>Prižiūrimų užtvankų skaičius mieste (vnt.)</t>
  </si>
  <si>
    <t xml:space="preserve"> 05 Melioracijos griovių, pralaidų priežiūra ir remontas</t>
  </si>
  <si>
    <t>Invazinių Lietuvoje rūšių sąraše esančių rūšių (Sosnovskio barštis ir pan.) kontrolės įgyvendinimo darbai, išvalytos teritorijos plotas (ha)</t>
  </si>
  <si>
    <t>Prijungtų privačių namų prie centralizuoto nuotekų surinkimo sistemos skaičius (vnt.)</t>
  </si>
  <si>
    <t>Atliekų surinkimo priemonių komplektų įsigijimas (kompl.)</t>
  </si>
  <si>
    <t>Sutvarkytų  užterštų teritorijų  skaičius (vnt.)</t>
  </si>
  <si>
    <t>Surinktų padangų kiekis (t)</t>
  </si>
  <si>
    <t>Įsigytų konteinerių skaičius  (vnt.)</t>
  </si>
  <si>
    <t>Gyvūnams, kuriems padaryta žala nuo vilkų skaičius (vnt.)</t>
  </si>
  <si>
    <t>Apželdintų medžiais ir želdiniais teritorijų skaičius (vnt.)</t>
  </si>
  <si>
    <t>Eksploatuojamų vaizdo kamerų skaičius (vnt.)</t>
  </si>
  <si>
    <t>07 Mokėti tikslines kompensacijas</t>
  </si>
  <si>
    <t xml:space="preserve"> 01 Socialinė priežiūra šeimoms, patiriančioms socialinę riziką</t>
  </si>
  <si>
    <t>Socialinės priežiūros paslaugas gaunančių šeimų skaičius (vnt.)</t>
  </si>
  <si>
    <t>Kompleksines paslaugas gavusių šeimų skaičius (vnt.)</t>
  </si>
  <si>
    <t>01 Teikti socialinę globą likusiems be tėvų vaikams Jonavos Vaiko ir šeimos gerovės centre</t>
  </si>
  <si>
    <t>Vaiko ir šeimos gerovės centras</t>
  </si>
  <si>
    <t>Savivaldybės tuščių butų skaičius (vnt.)</t>
  </si>
  <si>
    <t xml:space="preserve"> 03 Vystyti socialines paslaugas mieste</t>
  </si>
  <si>
    <t xml:space="preserve"> 03 Plėtoti socialinių paslaugų tinklą bei prisidėti prie pilietinės visuomenės formavimo, palaikant bendruomenės iniciatyvas</t>
  </si>
  <si>
    <t>Projekto įgyvemdinimas (proc.)</t>
  </si>
  <si>
    <t>Tarybos narių skaičius (asm.)</t>
  </si>
  <si>
    <t>Suremontuotų griovių skaičius (vnt.)</t>
  </si>
  <si>
    <t>Įregistruotų ir registruotų patikslintų objektų skaičius (vnt.)</t>
  </si>
  <si>
    <t>Įdarbintų asmenų skaičius (asm.)</t>
  </si>
  <si>
    <t>Sveikatos ugdymo ir mokymo renginių (paskaitose, pamokose, diskusijose, debatuose, konkursuose, viktorinose, varžybose ir kituose viešuose renginiuose) dalyvių skaičius (asm.)</t>
  </si>
  <si>
    <t>Įstaigą lankančių vaikų skaičius (asm.)</t>
  </si>
  <si>
    <t>Gyventojų, turinčių galimybę pasinaudoti pagerintomis sveikatos priežiūros paslaugomis,  skaičius (asm.)</t>
  </si>
  <si>
    <t>Tuberkulioze sergančių pacientų, kuriems buvo suteiktos socialinės paramos priemonės (maisto talonų dalijimas ir kelionės išlaidų kompensavimas) tuberkuliozės ambulatorinio gydymo metu, skaičius (asm.)</t>
  </si>
  <si>
    <t xml:space="preserve">Tikslinių grupių asmenų, kurie dalyvavo informavimo, švietimo ir mokymo renginiuose bei sveikatos raštingumą dindinčiose veiklose, skaičius (asm.) </t>
  </si>
  <si>
    <t>Jaunų asmenų (14-29 metų), kuriems suteiktos JPSPP, skaičius (asm.)</t>
  </si>
  <si>
    <t>Asmenų skaičius dalyvavusių savižudybių prevencijos renginiuose (asm.)</t>
  </si>
  <si>
    <t>Vaikų skaičius, už kuriuos gaunamos išmokos (asm.)</t>
  </si>
  <si>
    <t>Išmokas privalomosios tarnybos karių vaikams gavusiųjų skaičius (asm.)</t>
  </si>
  <si>
    <t>Šeimų, gaunančių globos (rūpybos) išmokas, skaičius (vnt.)</t>
  </si>
  <si>
    <t>Išmokas įsikūrimui gavusiųjų skaičius (asm.)</t>
  </si>
  <si>
    <t>Išmokas gavusiųjų nėščiųjų skaičius (asm.)</t>
  </si>
  <si>
    <t>Tikslinių kompensacijų vidutinis gavėjų skaičius (asm.)</t>
  </si>
  <si>
    <t>Neįgaliųjų, gaunančių išmokas,  skaičius (asm.)</t>
  </si>
  <si>
    <t>Vienkartines pašalpas gaunančių asmenų skaičius (asm.)</t>
  </si>
  <si>
    <t>Asmenų, kuriems buvo suteikta paslauga, skaičius (asm.)</t>
  </si>
  <si>
    <t xml:space="preserve">Įgyvendinta Ruklos parapijos Carito vaikų dienos centro programa </t>
  </si>
  <si>
    <t>Mokinių, gaunančių nemokamą maitinimą, skaičius (asm.)</t>
  </si>
  <si>
    <t>Asmenų, už kuriuos skirta parama, skaičius (asm.)</t>
  </si>
  <si>
    <t>Senyvo amžiaus asmenų ir asmenų su negalia, gaunančių socialines paslaugas, skaičius (asm.)</t>
  </si>
  <si>
    <t>Asmenų  su sunkia negalia, gaunančių socialines paslaugas skaičius (asm.)</t>
  </si>
  <si>
    <t>Soc.globos asmenų su sunkia negalia skaičius (asm.)</t>
  </si>
  <si>
    <t xml:space="preserve">Bendras socialinių paslaugų gavėjų skaičius (asm.) </t>
  </si>
  <si>
    <t xml:space="preserve">Socialinės priežiūros paslaugos asmens namuose (gavėjų skaičius asm.) </t>
  </si>
  <si>
    <t>Nestacionarių socialinių paslaugų dienos užimtumo grupių lankytojų skaičius (asm.)</t>
  </si>
  <si>
    <t>Nemokamą paramą maisto produktais gaunančių žmonių skaičius (asm.)</t>
  </si>
  <si>
    <t>Vienkartinių pašalpų gavėjų skaičius (asm.)</t>
  </si>
  <si>
    <t>Socialines paslaugas gavę tikslinių grupių asmenų skaičius (asm.)</t>
  </si>
  <si>
    <t>Jonavos Vaiko ir šeimos gerovės centro paslaugų gavėjų skaičius (asm.)</t>
  </si>
  <si>
    <t>Bendruomeninių vaikų globos namų paslaugų gavėjų skaičius (asm.)</t>
  </si>
  <si>
    <t>Nakvynės namų paslaugų gavėjų skaičius (asm.)</t>
  </si>
  <si>
    <t>Išlaikomų senyvo amžiaus, asmenų su negalia skaičius (asm.)</t>
  </si>
  <si>
    <t>Išlaikomų senyvo amžiaus, asmenų su sunkia negalia skaičius (asm.)</t>
  </si>
  <si>
    <t>Išlaikomų vaikų, netekusių tėvų  globos įstaigose skaičius (asm.)</t>
  </si>
  <si>
    <t>Šeimų ir asmenų, gaunančių kompensacijas už šildymą, karštą vandenį, skaičius (vnt.)</t>
  </si>
  <si>
    <t>Šeimų, gavusių socialinę pašalpą, skaičius (vnt.)</t>
  </si>
  <si>
    <t>Vienkartinių bilietų su nuolaida skaičius (vnt.)</t>
  </si>
  <si>
    <t>Terminuotų bilietų su nuolaida skaičius (vnt.)</t>
  </si>
  <si>
    <t>Asmenys, gaunantys būsto nuomos dalinę kompensaciją (asm.)</t>
  </si>
  <si>
    <t>Iškeldintų žmonių skaičius (asm.)</t>
  </si>
  <si>
    <t>Įstaigą lankančių mokinių skaičius (asm.)</t>
  </si>
  <si>
    <t>Mokinių skaičius, iš viso (asm.)</t>
  </si>
  <si>
    <t>Lavinamojoje ir soc. įgūdžių klasėse besimokančiųjų mokinių skaičius (asm.)</t>
  </si>
  <si>
    <t>Mokinių skaičius su specialiaisiais ugdymo poreikiais, iš viso (asm.)</t>
  </si>
  <si>
    <t>Įstaigas lankančių vaikų skaičius (asm.)</t>
  </si>
  <si>
    <t>Švietimo įstaigas lankančių vaikų skaičius (asm.)</t>
  </si>
  <si>
    <t>Vaikų, dalyvaujančių socializacijos programose, skaičius (asm.)</t>
  </si>
  <si>
    <t>Surengtų seminarų mokymų vaiko gerovės komisijos nariams ir šeimoms skaičius (vnt.)</t>
  </si>
  <si>
    <t>Trečio amžiaus universitetą lankančiųjų skaičius (asm.)</t>
  </si>
  <si>
    <t>Žmonių, atsakingų už brandos egzaminų administravimą, vykdymą ir vertinimą, skaičius (asm.)</t>
  </si>
  <si>
    <t>Mokinių, gaunančių stipendijas, skaičius (asm.)</t>
  </si>
  <si>
    <t>Moksleiviams suteiktų pedagoginių, psichologinių konsultacijų skaičius (vnt.)</t>
  </si>
  <si>
    <t>PPT organizuotų seminarų klausytojų skaičius (asm.)</t>
  </si>
  <si>
    <t>PPT įvertintų specialiųjų ugdymosi poreikių vaikų skaičius (asm.)</t>
  </si>
  <si>
    <t>Kultūros centrų lankytojų ir dalyvių skaičius (tūkst. asm.)</t>
  </si>
  <si>
    <t>Viešosios bibliotekos lankytojų skaičius (asm.)</t>
  </si>
  <si>
    <t>Viešosios bibliotekos skaitytojų skaičius (asm.)</t>
  </si>
  <si>
    <t>Muziejaus lankytojų ir dalyvių skaičius (tūkst. asm.)</t>
  </si>
  <si>
    <t>Teatro lankytojų ir dalyvių skaičius (tūkst. asm.)</t>
  </si>
  <si>
    <t>Meno mokyklą lankančių vaikų skaičius (asm.)</t>
  </si>
  <si>
    <t>Sportu užsiiminėjančių moksleivių skaičius (asm.)</t>
  </si>
  <si>
    <t>Mėgėjų sportuojančiųjų skaičius (asm.)</t>
  </si>
  <si>
    <t>Mokinių, dalyvaujančių bendrojo lavinimo mokyklų  žaidynėse, skaičius (asm.)</t>
  </si>
  <si>
    <t>Bendrojo lavinimo mokyklų  žaidynių, atskirų sporto šakų varžybų skaičius  (vnt.)</t>
  </si>
  <si>
    <t>Sportininkų, gaunančių sporto stipendijas, skaičius (vnt.)</t>
  </si>
  <si>
    <t>Sportininkų ir trenerių, paskatintų už aukštus sportinius rezultatus, skaičius (vnt.)</t>
  </si>
  <si>
    <t>Iš savivaldybės biudžeto remiamų sporto klubų vykdomų programų skaičius rajone (vnt.)</t>
  </si>
  <si>
    <t>Paremta ugniagesių savanorių draugija (vnt.)</t>
  </si>
  <si>
    <t>Išmokų ir kompensacijų vidutinis gavėjų skaičius (asm.)</t>
  </si>
  <si>
    <t>Suteiktų konsultacijų skaičius valstybinės kalbos taisyklingumo ir vartosenos klausimais (vnt.)</t>
  </si>
  <si>
    <t>Bendras likviduotų įmonių saugomų dokumentų kiekis (vnt.)</t>
  </si>
  <si>
    <t>Jonavos rajone įregistruotų ūkininkų ūkių skaičius (vnt.)</t>
  </si>
  <si>
    <t>Jonavos rajono gyventojų skaičius (asm.)</t>
  </si>
  <si>
    <t>Mokinių, gaunančių socialinę paramą, skaičius (asm.)</t>
  </si>
  <si>
    <t>Asmenų, dalyvavusių civilinės saugos mokymuose, skaičius (asm.)</t>
  </si>
  <si>
    <t xml:space="preserve">Įvykdytų mobilizacijos paskaitų skaičius </t>
  </si>
  <si>
    <t>Topografinių ir inžinierinių nuotraukų skaičius (vnt.)</t>
  </si>
  <si>
    <t>Globojamų asmenų skaičius (asm.)</t>
  </si>
  <si>
    <t>Teisinių paslaugų sutartys (advokatai, anstoliai) (vnt.)</t>
  </si>
  <si>
    <t>03 Jonavos r. vietos veiklos grupės plėtros strategijos rengimo ir įgyvendinimo dalinis finansavimas</t>
  </si>
  <si>
    <t>Įsigytos šienavimo technikos skaičius (vnt.)</t>
  </si>
  <si>
    <t>Sutvarkytų viešųjų erdvių skaičius (vnt.)</t>
  </si>
  <si>
    <t>Renovuotų apšvietimo linijų ilgis (m)</t>
  </si>
  <si>
    <t>Įsigytas prikabinamas traktorinis greideris (vnt.)</t>
  </si>
  <si>
    <t>Įsigytas konteinerinis sandėlis (vnt.)</t>
  </si>
  <si>
    <t>Atnaujintų žaidimų ir laisvalaikio zonų skaičius (vnt.)</t>
  </si>
  <si>
    <t>Įrengti (atnaujinti) laiptai (vnt.)</t>
  </si>
  <si>
    <t>Atnaujintų automobilių stovėjimo aikštelių skaičius (vnt.)</t>
  </si>
  <si>
    <t>Atnaujinto pėsčiųjų tako ilgis (m)</t>
  </si>
  <si>
    <t>Sutvarkytas seniūnijos pastatas (vnt.)</t>
  </si>
  <si>
    <t>Renovuotas bendruomenės namų pastatas (vnt.)</t>
  </si>
  <si>
    <t>Eksploatuotų Virbalų ir Juodmenos kv. elektros linijos (vnt.)</t>
  </si>
  <si>
    <t xml:space="preserve">10 Kaimo seniūnijų (Bukonių, Ruklos, Šveicarijos, Upininkų, Užusalių, Žeimių) žvyrkelių remontas </t>
  </si>
  <si>
    <t>Įsigytos virtuvės įrangos skaičius (vnt.)</t>
  </si>
  <si>
    <t>Įsigytų baldų komplektų skaičius (kompl.)</t>
  </si>
  <si>
    <t>01 Jonavos vaikų lopšelio - darželio "Dobilas" išorės ir vidaus patalpų remontas, įrangos įsigijimas</t>
  </si>
  <si>
    <t>Suremontuotų laiptinių skaičius (vnt.)</t>
  </si>
  <si>
    <t>Suremontuotų patalpų skaičius (vnt.)</t>
  </si>
  <si>
    <t>Įrengtų pamaišymo vožtuvų skaičius (vnt.)</t>
  </si>
  <si>
    <t>12 Gyventojų gyvenamosios vietos deklaravimas</t>
  </si>
  <si>
    <t>13 Mobilizacijos administravimas</t>
  </si>
  <si>
    <t>14 Neveiksnių asmenų būklės peržiūrėjimas</t>
  </si>
  <si>
    <t xml:space="preserve">15 Socialinė globa asmenims su sunkia negalia      </t>
  </si>
  <si>
    <t xml:space="preserve">16 Erdvinių duomenų rinkinio tvarkymas </t>
  </si>
  <si>
    <t>Įrengtų vaikų žaidimo aikštelių skaičius (vnt.)</t>
  </si>
  <si>
    <t>Pakeistos mokyklos teritorijos tvoros ilgis (m)</t>
  </si>
  <si>
    <t>Rekonstruotų vaikų žaidimo aikštelių skaičius (vnt.)</t>
  </si>
  <si>
    <t>Įrengtos vaikų žaidimo aikštelių dangos plotas (m2)</t>
  </si>
  <si>
    <t>Įrengto bėgimo tako stadione plotas (m2)</t>
  </si>
  <si>
    <t>Barupės mok.-DC</t>
  </si>
  <si>
    <t>Atnaujintos grindų dangos plotas (m2)</t>
  </si>
  <si>
    <t>Įrengtos sporto aikštelės su bėgimo taku plotas (m2)</t>
  </si>
  <si>
    <t>Apšiltintas pastatas (vnt.)</t>
  </si>
  <si>
    <t>Pastatytas garažas (vnt.)</t>
  </si>
  <si>
    <t>Upninkų pagr. Mokykla</t>
  </si>
  <si>
    <t>02 Jonavos vaikų lopšelio - darželio "Saulutė" išorės ir vidaus patalpų atnaujinimas</t>
  </si>
  <si>
    <t xml:space="preserve">03 Jonavos vaikų lopšelio - darželio "Lakštingalėlė" išorės ir vidaus patalpų atnaujinimas </t>
  </si>
  <si>
    <t xml:space="preserve">04 Jonavos vaikų lopšelio - darželio "Pakalnutė" vidaus patalpų atnaujinimas </t>
  </si>
  <si>
    <t xml:space="preserve">06 Jonavos r. Upninkų pagrindinės mokyklos išorės ir vidaus patalpų atnaujinimas </t>
  </si>
  <si>
    <t xml:space="preserve">07 Jonavos Raimundo Samulevičiaus progimnazijos išorės ir vidaus patalpų atnaujinimas </t>
  </si>
  <si>
    <t>P. Vaičiūno pagr.mokykla</t>
  </si>
  <si>
    <t>Įrengta apsauginė ir priešgaisrinė signalizacija</t>
  </si>
  <si>
    <t>Įsigyta duomenų valdymo sistema</t>
  </si>
  <si>
    <t>03 Jonavos pašto stoties statinių komplekso arklidės pastato rekonstravimas</t>
  </si>
  <si>
    <t>Modernizuotas statinių kompleksas</t>
  </si>
  <si>
    <t>01 Jonavos kultūros centro veiklos gerinimas</t>
  </si>
  <si>
    <t>02 Jonavos r. savivaldybės viešosios bibliotekos veiklos gerinimas</t>
  </si>
  <si>
    <t>Įgyvendinta programa</t>
  </si>
  <si>
    <t>01 Projekto "Neformaliojo švietimo infrastruktūros tobulinimas" įgyvendinimas</t>
  </si>
  <si>
    <t xml:space="preserve"> 01 Organizuoti ir kontroliuoti komunalinių bei energetinių objektų priežiūros darbus seniūnijose, įsigyti reikiamą įrangą bei inventorių, teikti kitas seniūnijų viešojo ūkio paslaugas</t>
  </si>
  <si>
    <t xml:space="preserve"> 02 Atlikti transporto ir susisiekimo infrastruktūros priežiūrą, remontą, įrengimą</t>
  </si>
  <si>
    <t xml:space="preserve"> 01 Projekto "Jonavos globos namų atnaujinimas" įgyvendinimas</t>
  </si>
  <si>
    <t>02 Jonavos globos namų veiklos gerinimas</t>
  </si>
  <si>
    <t>Suremontuotas stogas (vnt.)</t>
  </si>
  <si>
    <t xml:space="preserve"> 01 VšĮ Jonavos ligoninės išorės ir vidaus patalpų atnaujinimas</t>
  </si>
  <si>
    <t>02 Jonavos pirminės sveikatos priežiūros centro šildymo sistemos bei vandentiekio atnaujinimo darbai</t>
  </si>
  <si>
    <t>Atnaujinta šildymo sistema ir vandentiekis</t>
  </si>
  <si>
    <t>03 Projekto "Jonavos r. sav. viešosios įstaigos Jonavos ligoninės atnaujinimas ir sterilizacijos proceso modernizavimas, Žeimių g. 19 Jonava" įgyvendinimas</t>
  </si>
  <si>
    <t>Pastato Mokyklos g. 2, Jonavoje nugriovimo darbai</t>
  </si>
  <si>
    <t>Pastato J. Basanavičiaus g. 7, Jonavoje patalpų remontas</t>
  </si>
  <si>
    <t>02 Virbalų ir Juodmenos kv. elektros linijų eksploatavimas</t>
  </si>
  <si>
    <t>Pastatų, kuriems atliktas remontas, skaičius (vnt.)</t>
  </si>
  <si>
    <t>Suremontuotų Savivaldybės būstų skaičius (vnt.)</t>
  </si>
  <si>
    <t>01 Savivaldybės kaimo seniūnijų komunalinio ūkio tarnybų išlaikymas</t>
  </si>
  <si>
    <t>03 Gerbūvio tvarkymo darbai seniūnijose</t>
  </si>
  <si>
    <t>02 Seniūnijų viešojo ūkio tvarkymas (viešųjų erdvių, kapinių, viešųjų pastatų priežiūra, gatvių valymas, gatvių apšvietimas ir kt.)</t>
  </si>
  <si>
    <t xml:space="preserve"> 01 Miesto parko Ramybės skvere įrengimas</t>
  </si>
  <si>
    <t>Įrengtas parkas</t>
  </si>
  <si>
    <t xml:space="preserve">  01 Prižiūrėti ir plėsti žaliąsias bei sodų bendrijų teritorijas rajone</t>
  </si>
  <si>
    <t xml:space="preserve"> 03 Projekto "Kraštovaizdžio formavimas ir ekologinės būklės gerinimas Taurostos parke Jonavoje" įgyvendinimas</t>
  </si>
  <si>
    <t xml:space="preserve"> 03 Užtikrinti kitos rajono infrastruktūros priežiūrą, remontą, įrengimą</t>
  </si>
  <si>
    <t xml:space="preserve"> 01 Atnaujinti ir modernizuoti savivaldybės švietimo pastatus, jų teritorijas, vykdyti švietimo infrastruktūros atnaujinimo ir įrengimo projektus</t>
  </si>
  <si>
    <t>03  Atnaujinti ir modernizuoti Savivaldybės sporto pastatus, jų teritorijas, įrengti naują sporto infrastruktūrą, vykdyti sporto infrastruktūros atnaujinimo ir įrengimo projektus</t>
  </si>
  <si>
    <t xml:space="preserve"> 04 Atnaujinti ir modernizuoti Savivaldybės socialines paslaugas teikiančių įstaigų pastatus, jų teritorijas, vykdyti socialinių paslaugų infrastruktūros atnaujinimo ir įrengimo projektus</t>
  </si>
  <si>
    <t xml:space="preserve"> 05 Atnaujinti ir modernizuoti Savivaldybės sveikatos priežiūros paslaugas teikiančių įstaigų pastatus, jų teritorijas, vykdyti sveikatos priežiūros paslaugų infrastruktūros atnaujinimo ir įrengimo projektus</t>
  </si>
  <si>
    <t xml:space="preserve"> 06 Atnaujinti ir modernizuoti kitus Savivaldybės pastatus, jų teritorijas</t>
  </si>
  <si>
    <t xml:space="preserve"> 07 Savivaldybės pastatų bendroji priežiūra, remontas, administravimas</t>
  </si>
  <si>
    <t xml:space="preserve"> 01 Skatinti daugiabučių gyvenamųjų namų atnaujinimą ir energinio efektyvumo didinimą</t>
  </si>
  <si>
    <t>01 Projekto "Ruklos miestelio kompleksinis atnaujinimas" įgyvendinimas</t>
  </si>
  <si>
    <t>02 Kompleksinės plėtros miesto ir kaimo teritorijose įgyvendinimas</t>
  </si>
  <si>
    <t>01 Užtikrinti viešosios rajono infrastruktūros objektų priežiūrą, remontą bei viešųjų paslaugų teikimą</t>
  </si>
  <si>
    <t>02 Tvarkyti ir prižiūrėti Savivaldybei priklausančius pastatus, statinius, jų teritorijas</t>
  </si>
  <si>
    <t>01 Centralizuotas fondas avariniams remonto darbams</t>
  </si>
  <si>
    <t>02 Pastatų Chemikų 136 ir Klaipėdos 15, Jonavoje ir Rukloje, išlaikymas ir tvarkymas</t>
  </si>
  <si>
    <t>03 Savivaldybei priklausančių statinių remontas</t>
  </si>
  <si>
    <t>04 Savivaldybės būsto remontas ir administravimas</t>
  </si>
  <si>
    <t xml:space="preserve"> 01 Jonavos r. energetinio efektyvumo didinimo daugiabučiuose namuose programos įgyvendinimas</t>
  </si>
  <si>
    <t>04 Drobiškių dvaro sodybos pastatų perkėlimas į Rumšiškių liaudies muziejų</t>
  </si>
  <si>
    <t>Perkeltų pastatų skaičius (vnt.)</t>
  </si>
  <si>
    <t>Įrengtų poilsio suoliukų su šiukšliadėžėmis skaičius (vnt.)</t>
  </si>
  <si>
    <t>Aptvertos dirbtuvių teritorijos ilgis (m)</t>
  </si>
  <si>
    <t>Rekonstruotas suskystintų naftos dujų įrenginys</t>
  </si>
  <si>
    <t>14 Dotacinis dalinis grąžinimas projekto "Jonavos m. Vasario 16-osios, A. Kulviečio, Chemikų gatvių rekonstrukcija, įrengiant modernias eismo saugos priemones" įgyvendinimo nuosavam indėliui užtikrinti</t>
  </si>
  <si>
    <t>Parengtas techninis projektas (vnt.)</t>
  </si>
  <si>
    <t>03 Projekto "Jonavos, Kėdainių ir Raseinių rajonų savivaldybės jungiančių trasų ir turizmo maršrutų informacinės infrastruktūros plėtra" įgyvendinimas</t>
  </si>
  <si>
    <t>Kulvos A. Kulviečio mok.</t>
  </si>
  <si>
    <t>02 Atnaujinti ir modernizuoti Savivaldybės kultūros pastatus, kultūros paveldo objektus, vykdyti kultūros bei kultūros paveldo infrastruktūros atnaujinimo ir įrengimo projektus</t>
  </si>
  <si>
    <t>Įrengtas liftas (vnt.)</t>
  </si>
  <si>
    <t>04 Atnaujinti, prižiūrėti ir vystyti viešąsias erdves Savivaldybės teritorijoje</t>
  </si>
  <si>
    <t xml:space="preserve"> 01 Užtikrinti socialinių paslaugų, teikiamų įvairioms rajono gyventojų socialinėms grupėms, įvairovę</t>
  </si>
  <si>
    <t>Komunalinio ūkio tarnybų pareigybių skaičius (vnt.)</t>
  </si>
  <si>
    <t>Gatvių šviestuvų skaičius (vnt.)</t>
  </si>
  <si>
    <t>Sutvarkyta kapinių tvora (vnt.)</t>
  </si>
  <si>
    <t>Pėsčiųjų ir dviračių takų apšvietimo įrengimas (vnt.)</t>
  </si>
  <si>
    <t>Pažvyruotų kelių ilgis (km)</t>
  </si>
  <si>
    <t>Parengtas apšvietimo projektas (vnt.)</t>
  </si>
  <si>
    <t>Įsigyti priedai vejos traktoriui (vnt.)</t>
  </si>
  <si>
    <t>Įrengta automobilių stovėjimo aikštelė (m2)</t>
  </si>
  <si>
    <t>Įrengti apšvietimo stulpai (vnt.)</t>
  </si>
  <si>
    <t>Įrengtas takas (m2)</t>
  </si>
  <si>
    <t>Seniūnijų skaičius, kuriose atliktas žvyrkelių remontas (vnt.)</t>
  </si>
  <si>
    <t>Pastatytų mažosios architektūros objektų  skaičius (vnt.)</t>
  </si>
  <si>
    <t>Įrengto dviračių tako ilgis (km.)</t>
  </si>
  <si>
    <t>Dviračių tako įrengimas (proc.)</t>
  </si>
  <si>
    <t>Grąžinta dotacija (proc.)</t>
  </si>
  <si>
    <t>Įrengtų informacinių lentų, kelio ženklų ir krypties rodyklių skaičius (vnt.)</t>
  </si>
  <si>
    <t>Įsigytos kompiuterinės technikos skaičius (kompl.)</t>
  </si>
  <si>
    <t>Suremontuotos patalpos (m2)</t>
  </si>
  <si>
    <t>Atnaujinta teritorijos danga (m2)</t>
  </si>
  <si>
    <t>Pakeista lauko žaidimo aikštelių danga (m2)</t>
  </si>
  <si>
    <t>Suremontuotų patalpų plotas (m2)</t>
  </si>
  <si>
    <t>Suremontuotos patalpos (vnt.)</t>
  </si>
  <si>
    <t>Įrengti kaloriferiai (vnt.)</t>
  </si>
  <si>
    <t>Pakeista kiemo danga (m2)</t>
  </si>
  <si>
    <t>Renovuota šilumos sistema (vnt.)</t>
  </si>
  <si>
    <t>Sutvarkytos žalios vejos plotas (ha)</t>
  </si>
  <si>
    <t>Atliktų apžiūrų ir hidraulinių bandymų skaičius (vnt.)</t>
  </si>
  <si>
    <t>Įrengtų roletų skaičius (vnt.)</t>
  </si>
  <si>
    <t>Suremontuotų patalpų plotas (vnt.)</t>
  </si>
  <si>
    <t>Modernizuotas  pastatas (proc.)</t>
  </si>
  <si>
    <t>Vietinių kelių ilgis Bukonių seniūnijoje (km)</t>
  </si>
  <si>
    <t>Vietinių kelių ilgis Šveicarijos seniūnijoje (km)</t>
  </si>
  <si>
    <t>Vietinių kelių ilgis Jonavos miesto seniūnijoje (km)</t>
  </si>
  <si>
    <t>Atlikti pastato išorės ir vidaus sutvarkymo darbai, įsigyta įranga ir baldai</t>
  </si>
  <si>
    <t>Patalpų remontas ir inventoriaus įsigijimas</t>
  </si>
  <si>
    <t>06 Projekto "Bukonių kultūros centro pastato atnaujinimas" įgyvendinimas</t>
  </si>
  <si>
    <t>07 Projekto "Jonavos Šv. Apaštalo Jokūbo bažnyčios modernizavimas ir aktualizavimas" įgyvendinimas</t>
  </si>
  <si>
    <t>Modernizuota bažnyčia (vnt.)</t>
  </si>
  <si>
    <t>Atnaujintų sporto erdvių skaičius (vnt.)</t>
  </si>
  <si>
    <t>Tribūnų sėdimų vietų skaičius (vnt.)</t>
  </si>
  <si>
    <t>Įrengtų/atnaujintų bėgimo takų skaičius (vnt.)</t>
  </si>
  <si>
    <t>Įrengta tvora (m2)</t>
  </si>
  <si>
    <t>Atlikti Ruklos KC pastato išorės ir vidaus sutvarkymo darbai, įsigyta įranga ir baldai</t>
  </si>
  <si>
    <t>Atnaujintos patalpos</t>
  </si>
  <si>
    <t>Teritorijų, kuriose įgyvendintos kraštovaizdžio formavimo priemonės plotas (ha)</t>
  </si>
  <si>
    <t>2018/2019 m. palyginimas</t>
  </si>
  <si>
    <t>-</t>
  </si>
  <si>
    <t>Atnaujintų modernių, kūrybiškumą skatinančių edukacinių erdvių skaičius (vnt.)</t>
  </si>
  <si>
    <t>Sutvarkytų viešųjų erdvių Ruklos miestelyje plotas (m2)</t>
  </si>
  <si>
    <t>12 Projekto "Darnaus judumo priemonių diegimas Jonavos mieste" įgyvendinimas</t>
  </si>
  <si>
    <t>16 Projekto "Projekto "Elektromobilių įkrovimo prieigų tinklo kūrimas Jonavos mieste" įgyvendinimas</t>
  </si>
  <si>
    <t xml:space="preserve">05 Jonavos lopšelio - darželio "Bitutė" išorės ir vidaus patalpų atnaujinimas </t>
  </si>
  <si>
    <t>Suremontuota šildymo sistema (vnt.)</t>
  </si>
  <si>
    <t>Suremontuotas nuotekų stovas (vnt.)</t>
  </si>
  <si>
    <t xml:space="preserve"> 02 Erasmus+ projekto "Communication is the path to integration" įgyvendinimas</t>
  </si>
  <si>
    <t xml:space="preserve"> 03 Nordplus Adult projekto "Save the World green" įgyvendinimas</t>
  </si>
  <si>
    <t xml:space="preserve"> 05 Projekto "Gerovės užtikrinimas teikiant kompleksines paslaugas protinę ir psichinę negalią turintiems asmenims ir jų artimiesiems" įgyvendinimas </t>
  </si>
  <si>
    <t xml:space="preserve"> 04 Projekto "Atrask ir parodyk save" įgyvendinimas </t>
  </si>
  <si>
    <t>04 Projekto "Pabėgėlių integracijos skatinimas" įgyvendinimas</t>
  </si>
  <si>
    <t>UAB "Jonavos paslaugos"</t>
  </si>
  <si>
    <t xml:space="preserve"> 03 Specialiųjų ugdymo poreikių mokinų išlaikymas</t>
  </si>
  <si>
    <t>04 Išmaniųjų apyrankių, skirtų atsiskaityti už maistą mokyklų valgyklose priešmokyklinio ugdymo ir pirmų klasių mokinimas, įsigijimas</t>
  </si>
  <si>
    <t xml:space="preserve"> 01 Moksleivio krepšelio finansavimas ikimokyklinėse įstaigos</t>
  </si>
  <si>
    <t xml:space="preserve"> 02 Ugdymo aplinkos finansavimas ikimokykliniam ugdymui</t>
  </si>
  <si>
    <t>01 Vaikų vasaros poilsio, socializacijos ir kt. programų,  projektų įgyvendinimas</t>
  </si>
  <si>
    <t>02  Koordinuotų paslaugų teikimas vaikui ir šeimoms</t>
  </si>
  <si>
    <t xml:space="preserve"> 03 Metodinės literatūros fondo plėtra</t>
  </si>
  <si>
    <t>04 Olimpiadų renginių rėmimas</t>
  </si>
  <si>
    <t>07  Brandos egzaminų organizavimas ir vykdymas</t>
  </si>
  <si>
    <t>08 MR pedagoginių darbuotojų tarifinių atlygių koeficientų skirtumų išlyginimo mokyklose finansavimas</t>
  </si>
  <si>
    <t xml:space="preserve"> 02 Pedagoginės - psichologinės tarnybos aplinkos finansavimas</t>
  </si>
  <si>
    <t xml:space="preserve"> 01 Pedagoginės - psichologinės tarnybos ugdymo reikmių finansavimas</t>
  </si>
  <si>
    <t xml:space="preserve"> 03 Įrangos įsigijimas pedagoninei - psichologinei tarnybai</t>
  </si>
  <si>
    <t xml:space="preserve"> 01 Sudaryti sąlygas visuomenei dalyvauti kultūroje</t>
  </si>
  <si>
    <t xml:space="preserve"> 02 NVO kultūrinių projektų finansavimas ir skatinimas</t>
  </si>
  <si>
    <t xml:space="preserve"> 01  Ugdymo aplinkos  finansavimas Meno mokykloje</t>
  </si>
  <si>
    <t xml:space="preserve"> 01 Sąlygų sudarymas rajono gyventojams kultivuoti įvairias sporto šakas ir plėtoti kūno kultūrą bei sportą</t>
  </si>
  <si>
    <t xml:space="preserve"> 02 Sportininkų ir trenerių skatinimas už pasiektus aukštus rezultatus</t>
  </si>
  <si>
    <t xml:space="preserve"> 03 Sporto klubų veiklos rėmimas</t>
  </si>
  <si>
    <t xml:space="preserve"> 01 Organizuoti Lietuvos Respublikos teisės aktuose numatytos paramos bei paslaugų asmenims ir šeimoms teikimą</t>
  </si>
  <si>
    <t xml:space="preserve"> 02 Išlaikyti socialines slaugos lovas</t>
  </si>
  <si>
    <t xml:space="preserve"> 03 Įgyvendinti Ruklos parapijos Carito vaikų dienos centro programą</t>
  </si>
  <si>
    <t xml:space="preserve"> 05 Aprūpinti mokinius mokinio reikmenimis</t>
  </si>
  <si>
    <t xml:space="preserve"> 06 Remti mirties atveju</t>
  </si>
  <si>
    <t xml:space="preserve"> 06 Projekto „Integralios pagalbos teikimas Jonavos rajone“ įgyvendinimas  </t>
  </si>
  <si>
    <t xml:space="preserve"> 07 Projekto „Kompleksinių paslaugų asmenims, patyrusiems socialinę atskirtį, teikimas – sėkmingos integracijos garantas“ įgyvendinimas</t>
  </si>
  <si>
    <t>02 Projekto "Bendruomeninių vaikų globos namų ir vaikų dienos centrų tinklo plėtra" įgyvendinimas</t>
  </si>
  <si>
    <t>Atnaujintų vaikų dienos centrų skaičius (vnt.)</t>
  </si>
  <si>
    <t>02 Projekto "Kompleksinių paslaugų šeimai teikimas Jonavos rajono savivaldybėje" įgyvendinimas</t>
  </si>
  <si>
    <t>03 Apmokėti senyvo amžiaus, asmenų su negalia, socialinės rizikos asmenų globos išlaikymo kito pavaldumo globos įstaigose apmokėjimas</t>
  </si>
  <si>
    <t>04 Socialinės globos asmenims su sunkia negalia apmkėjimas (kito pavaldumo globos įstaigose)</t>
  </si>
  <si>
    <t>05 Vaikų, netekusių tėvų globos, išlaikymo apmokėjimas (kito pavaldumo globos įstaigose)</t>
  </si>
  <si>
    <t>02 Socialinių pašalpų mokėjimas</t>
  </si>
  <si>
    <t>03 Projekto "Socialinio būsto plėtra Jonavos rajono savivaldybėje" įgyvendinimas</t>
  </si>
  <si>
    <t xml:space="preserve"> 02 Finansuoti visuomenės sveikatos priežiūrą Jonavos rajono savivaldybės švietimo įstaigose</t>
  </si>
  <si>
    <t>01 Teritorijų planavimo dokumentų rengimas, techninių projektų ir ekspertizių rengimas, inžinerinių paslaugų teikimas ir kadastrinių matavimų atlikimas</t>
  </si>
  <si>
    <t>01 Beprocentinių paskolų išdavimas ir negrąžintinos finansinės paramos teikimas smulkioms ir vidutinėms įmonėms bei ūkininkams</t>
  </si>
  <si>
    <t>01 Keleivinio kelių transporto kontrolės paslauga, atliekant patikrinimus</t>
  </si>
  <si>
    <t>01 Konkurso "Sukurta Jonavoje" įgyvendinimas</t>
  </si>
  <si>
    <t>02 Verslo konsultavimo paslaugų teikimas</t>
  </si>
  <si>
    <t xml:space="preserve"> 01 Renginių žemės ūkio tematika programos įgyvendinimas</t>
  </si>
  <si>
    <t xml:space="preserve"> 04 Hidrotechninių statinių (užtvankų) priežiūra ir remontas</t>
  </si>
  <si>
    <t xml:space="preserve"> 03 Hidrotechninių statinių (užtvankų) rekonstrukcija</t>
  </si>
  <si>
    <t>07 Objektų registravimas ir registracijos tikslinimas</t>
  </si>
  <si>
    <t xml:space="preserve"> 06 Projekto "Pirminio rūšiavimo infrastruktūros plėtra Jonavos rajone ir atliekų rūšiavimo skatinimas" dalinis įgyvendinimas</t>
  </si>
  <si>
    <t xml:space="preserve"> 01 Tvenkinių įžuvinimas </t>
  </si>
  <si>
    <t xml:space="preserve"> 01 Prevencinės programos "Aktyvi bendruomenė - saugi aplinka" įgyevndinimas</t>
  </si>
  <si>
    <t xml:space="preserve"> 03 Prevencinės programos "Jonava be gaisrų"  įgyvendinimas</t>
  </si>
  <si>
    <t xml:space="preserve"> 04 Remti ugniagesių savanorių draugiją</t>
  </si>
  <si>
    <t>13 Dviračių tako nuo Taurostos g. iki AB "Achema" įrengimas</t>
  </si>
  <si>
    <t>01 Liftų ir keltuvų aptarnavimas bei priežiūra</t>
  </si>
  <si>
    <t>J. Vareikio progimnazija</t>
  </si>
  <si>
    <t>Įrengta tvora (vnt.)</t>
  </si>
  <si>
    <t xml:space="preserve">08 Jonavos J.Vareikio progimnazijos išorės ir vidaus patalpų atnaujinimas </t>
  </si>
  <si>
    <t xml:space="preserve">09 Jonavos  "Neries" pagrindinės mokyklos išorės ir vidaus patalpų atnaujinimas </t>
  </si>
  <si>
    <t>10 Jonavos "Lietavos" pagrindinės mokyklos išorės atnaujinimas</t>
  </si>
  <si>
    <t xml:space="preserve">11 Jonavos r. Šveicarijos pagrindinės mokyklos išorės atnaujinimas </t>
  </si>
  <si>
    <t xml:space="preserve">12 Jonavos r. Užusalių pagrindinės mokyklos vidaus patalpų atnaujinimas </t>
  </si>
  <si>
    <t xml:space="preserve">13 Jonavos r. Bukonių mokyklos - daugiafunkcio centro vidaus patalpų atnaujinimas </t>
  </si>
  <si>
    <t xml:space="preserve">14 Jonavos r. Žeimių mokyklos - daugiafunkcio centro vidaus patalpų atnaujinimas </t>
  </si>
  <si>
    <t xml:space="preserve">15 Jonavos r. Ruklos Jono Stanislausko mokyklos - daugiafunkcio centro išorės ir vidaus patalpų atnaujinimas </t>
  </si>
  <si>
    <t xml:space="preserve">16 Jonavos r. Kulvos Abraomo Kulviečio mokyklos išorės ir vidaus patalpų atnaujinimas </t>
  </si>
  <si>
    <t xml:space="preserve">17 Jonavos r. Barupės mokyklos - daugiafunkcinio centro vidaus patalpų atnaujinimas </t>
  </si>
  <si>
    <t xml:space="preserve">18 Jonavos pradinės mokyklos išorės atnaujinimas </t>
  </si>
  <si>
    <t xml:space="preserve">19 Jonavos Panerio pradinės mokyklos vidaus patalpų atnaujinimas </t>
  </si>
  <si>
    <t>20 Jonavos Senamiesčio gimnazijos pastato išorės ir vidaus patalpų remontas</t>
  </si>
  <si>
    <t>21 Jonavos r. Panoterių P. Vaičiūno pagrindinės mokyklos vidaus patalpų atnaujinimas, inventoriaus įsigijimas</t>
  </si>
  <si>
    <t>22 Jonavos Jeronimo Ralio gimnazijos apšiltinimo darbai</t>
  </si>
  <si>
    <t xml:space="preserve">23 Projekto "Jonavos mokyklos - darželio "Bitutė" atnaujinimas" įgyvendinimas  </t>
  </si>
  <si>
    <t>25 Projekto "Užusalių pagrindinės mokyklos atnaujinimas ir pritaikymas bendruomenės poreikiams" įgyvendinimas</t>
  </si>
  <si>
    <t>26 Projekto "Šveicarijos pagrindinės mokyklos pritaikymas bendruomenės poreikiams" įgyvendinimas</t>
  </si>
  <si>
    <t xml:space="preserve">27 Šilumos efektą sukeliančių dujų ataskaitų ir auditų mokykloms parengimas </t>
  </si>
  <si>
    <t>24  Projekto "Jonavos Jeronimo Ralio gimnazijos atnaujinimas" įgyvendinimas</t>
  </si>
  <si>
    <t>05 Kultūros vertybių tvarkymo ir išsaugojimo darbų programos įgyvendinimas</t>
  </si>
  <si>
    <t>02 Specialiosios sodininkų bendrijos rėmimo programos įgyvendinimas</t>
  </si>
  <si>
    <t>01 Vykdyti valstybines (perduotas savivaldybėms) funkcijas</t>
  </si>
  <si>
    <t xml:space="preserve"> 02 Teisinių paslaugų įsigijimas</t>
  </si>
  <si>
    <t>Rangos sutarties įgyvendinimas (proc.)</t>
  </si>
  <si>
    <t>15 Žeimių g. ir Vasario 16-osios g. žiedinės sankryžos projektavimas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</si>
</sst>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L_t_-;\-* #,##0.00\ _L_t_-;_-* &quot;-&quot;??\ _L_t_-;_-@_-"/>
    <numFmt numFmtId="165" formatCode="0.0"/>
    <numFmt numFmtId="166" formatCode="0&quot; %&quot;"/>
    <numFmt numFmtId="167" formatCode="0.0%"/>
    <numFmt numFmtId="168" formatCode="_-* #,##0\ _L_t_-;\-* #,##0\ _L_t_-;_-* &quot;-&quot;??\ _L_t_-;_-@_-"/>
  </numFmts>
  <fonts count="34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0"/>
      <name val="TimesLT"/>
      <charset val="186"/>
    </font>
    <font>
      <sz val="8"/>
      <name val="TimesLT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8"/>
      <color indexed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204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indexed="9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7"/>
      <name val="Times New Roman"/>
      <family val="1"/>
      <charset val="186"/>
    </font>
    <font>
      <sz val="7"/>
      <name val="Arial"/>
      <family val="2"/>
      <charset val="186"/>
    </font>
    <font>
      <b/>
      <sz val="8"/>
      <name val="Arial"/>
      <family val="2"/>
      <charset val="186"/>
    </font>
    <font>
      <b/>
      <sz val="8"/>
      <name val="Times New Roman"/>
      <family val="1"/>
    </font>
    <font>
      <b/>
      <sz val="10"/>
      <name val="Arial"/>
      <family val="2"/>
    </font>
    <font>
      <b/>
      <sz val="9"/>
      <name val="Times New Roman"/>
      <family val="1"/>
    </font>
    <font>
      <sz val="10"/>
      <name val="Arial"/>
      <family val="2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</borders>
  <cellStyleXfs count="15">
    <xf numFmtId="0" fontId="0" fillId="0" borderId="0"/>
    <xf numFmtId="0" fontId="1" fillId="0" borderId="0"/>
    <xf numFmtId="0" fontId="19" fillId="0" borderId="0"/>
    <xf numFmtId="0" fontId="1" fillId="0" borderId="0"/>
    <xf numFmtId="0" fontId="23" fillId="0" borderId="0"/>
    <xf numFmtId="0" fontId="1" fillId="0" borderId="0"/>
    <xf numFmtId="164" fontId="19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7" fillId="0" borderId="0" applyFont="0" applyFill="0" applyAlignment="0" applyProtection="0"/>
  </cellStyleXfs>
  <cellXfs count="1842">
    <xf numFmtId="0" fontId="0" fillId="0" borderId="0" xfId="0"/>
    <xf numFmtId="49" fontId="5" fillId="0" borderId="2" xfId="0" applyNumberFormat="1" applyFont="1" applyFill="1" applyBorder="1" applyAlignment="1">
      <alignment vertical="center"/>
    </xf>
    <xf numFmtId="0" fontId="2" fillId="0" borderId="0" xfId="8" applyFont="1" applyFill="1" applyAlignment="1">
      <alignment horizontal="center"/>
    </xf>
    <xf numFmtId="0" fontId="3" fillId="0" borderId="0" xfId="8" applyFont="1" applyFill="1" applyAlignment="1">
      <alignment horizontal="center"/>
    </xf>
    <xf numFmtId="0" fontId="12" fillId="0" borderId="0" xfId="8" applyFont="1" applyFill="1"/>
    <xf numFmtId="0" fontId="12" fillId="0" borderId="0" xfId="8" applyFont="1" applyFill="1" applyAlignment="1">
      <alignment horizontal="center"/>
    </xf>
    <xf numFmtId="0" fontId="9" fillId="0" borderId="0" xfId="8" applyFont="1" applyFill="1"/>
    <xf numFmtId="49" fontId="4" fillId="0" borderId="5" xfId="7" applyNumberFormat="1" applyFont="1" applyFill="1" applyBorder="1" applyAlignment="1">
      <alignment horizontal="left"/>
    </xf>
    <xf numFmtId="49" fontId="4" fillId="0" borderId="6" xfId="7" applyNumberFormat="1" applyFont="1" applyFill="1" applyBorder="1" applyAlignment="1">
      <alignment horizontal="left"/>
    </xf>
    <xf numFmtId="0" fontId="2" fillId="0" borderId="0" xfId="8" applyFont="1" applyFill="1" applyBorder="1"/>
    <xf numFmtId="49" fontId="5" fillId="0" borderId="9" xfId="7" applyNumberFormat="1" applyFont="1" applyFill="1" applyBorder="1" applyAlignment="1">
      <alignment horizontal="center"/>
    </xf>
    <xf numFmtId="49" fontId="5" fillId="0" borderId="11" xfId="7" applyNumberFormat="1" applyFont="1" applyFill="1" applyBorder="1" applyAlignment="1">
      <alignment horizontal="center"/>
    </xf>
    <xf numFmtId="49" fontId="4" fillId="0" borderId="7" xfId="7" applyNumberFormat="1" applyFont="1" applyFill="1" applyBorder="1" applyAlignment="1">
      <alignment horizontal="left"/>
    </xf>
    <xf numFmtId="49" fontId="4" fillId="0" borderId="0" xfId="7" applyNumberFormat="1" applyFont="1" applyFill="1" applyBorder="1" applyAlignment="1">
      <alignment horizontal="left"/>
    </xf>
    <xf numFmtId="0" fontId="2" fillId="0" borderId="0" xfId="8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 vertical="center"/>
    </xf>
    <xf numFmtId="49" fontId="4" fillId="0" borderId="5" xfId="7" applyNumberFormat="1" applyFont="1" applyFill="1" applyBorder="1" applyAlignment="1"/>
    <xf numFmtId="49" fontId="4" fillId="0" borderId="6" xfId="7" applyNumberFormat="1" applyFont="1" applyFill="1" applyBorder="1" applyAlignment="1"/>
    <xf numFmtId="0" fontId="2" fillId="0" borderId="0" xfId="8" applyFont="1" applyFill="1" applyAlignment="1"/>
    <xf numFmtId="0" fontId="12" fillId="0" borderId="0" xfId="8" applyFont="1" applyFill="1" applyAlignment="1"/>
    <xf numFmtId="49" fontId="5" fillId="0" borderId="21" xfId="7" applyNumberFormat="1" applyFont="1" applyFill="1" applyBorder="1" applyAlignment="1">
      <alignment horizontal="center"/>
    </xf>
    <xf numFmtId="1" fontId="4" fillId="0" borderId="0" xfId="7" applyNumberFormat="1" applyFont="1" applyFill="1" applyBorder="1"/>
    <xf numFmtId="1" fontId="12" fillId="0" borderId="0" xfId="7" applyNumberFormat="1" applyFont="1" applyFill="1" applyBorder="1"/>
    <xf numFmtId="49" fontId="5" fillId="0" borderId="32" xfId="7" applyNumberFormat="1" applyFont="1" applyFill="1" applyBorder="1" applyAlignment="1">
      <alignment horizontal="center"/>
    </xf>
    <xf numFmtId="49" fontId="5" fillId="0" borderId="27" xfId="0" applyNumberFormat="1" applyFont="1" applyFill="1" applyBorder="1" applyAlignment="1">
      <alignment horizontal="center" vertical="center"/>
    </xf>
    <xf numFmtId="1" fontId="4" fillId="0" borderId="34" xfId="7" applyNumberFormat="1" applyFont="1" applyFill="1" applyBorder="1"/>
    <xf numFmtId="49" fontId="4" fillId="0" borderId="6" xfId="7" applyNumberFormat="1" applyFont="1" applyFill="1" applyBorder="1" applyAlignment="1">
      <alignment horizontal="right"/>
    </xf>
    <xf numFmtId="49" fontId="5" fillId="0" borderId="6" xfId="7" applyNumberFormat="1" applyFont="1" applyFill="1" applyBorder="1" applyAlignment="1">
      <alignment horizontal="right"/>
    </xf>
    <xf numFmtId="49" fontId="4" fillId="0" borderId="0" xfId="7" applyNumberFormat="1" applyFont="1" applyFill="1" applyBorder="1" applyAlignment="1">
      <alignment horizontal="right"/>
    </xf>
    <xf numFmtId="1" fontId="4" fillId="0" borderId="37" xfId="7" applyNumberFormat="1" applyFont="1" applyFill="1" applyBorder="1"/>
    <xf numFmtId="49" fontId="11" fillId="0" borderId="1" xfId="0" applyNumberFormat="1" applyFont="1" applyFill="1" applyBorder="1" applyAlignment="1">
      <alignment horizontal="center" vertical="center"/>
    </xf>
    <xf numFmtId="49" fontId="5" fillId="0" borderId="39" xfId="7" applyNumberFormat="1" applyFont="1" applyFill="1" applyBorder="1" applyAlignment="1">
      <alignment horizontal="center"/>
    </xf>
    <xf numFmtId="49" fontId="11" fillId="0" borderId="40" xfId="0" applyNumberFormat="1" applyFont="1" applyFill="1" applyBorder="1" applyAlignment="1">
      <alignment horizontal="center" vertical="center"/>
    </xf>
    <xf numFmtId="1" fontId="4" fillId="0" borderId="0" xfId="7" applyNumberFormat="1" applyFont="1" applyFill="1" applyBorder="1" applyAlignment="1">
      <alignment horizontal="right"/>
    </xf>
    <xf numFmtId="1" fontId="5" fillId="0" borderId="22" xfId="7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left" vertical="center"/>
    </xf>
    <xf numFmtId="165" fontId="4" fillId="0" borderId="0" xfId="7" applyNumberFormat="1" applyFont="1" applyFill="1" applyBorder="1" applyAlignment="1">
      <alignment horizontal="left"/>
    </xf>
    <xf numFmtId="165" fontId="4" fillId="0" borderId="0" xfId="7" applyNumberFormat="1" applyFont="1" applyFill="1" applyBorder="1"/>
    <xf numFmtId="49" fontId="4" fillId="0" borderId="0" xfId="7" applyNumberFormat="1" applyFont="1" applyFill="1" applyBorder="1" applyAlignment="1">
      <alignment horizontal="center"/>
    </xf>
    <xf numFmtId="49" fontId="5" fillId="0" borderId="52" xfId="7" applyNumberFormat="1" applyFont="1" applyFill="1" applyBorder="1" applyAlignment="1">
      <alignment horizontal="left" wrapText="1"/>
    </xf>
    <xf numFmtId="167" fontId="4" fillId="0" borderId="45" xfId="11" applyNumberFormat="1" applyFont="1" applyFill="1" applyBorder="1" applyAlignment="1">
      <alignment horizontal="right" vertical="center" wrapText="1"/>
    </xf>
    <xf numFmtId="1" fontId="5" fillId="0" borderId="13" xfId="7" applyNumberFormat="1" applyFont="1" applyFill="1" applyBorder="1" applyAlignment="1">
      <alignment horizontal="right"/>
    </xf>
    <xf numFmtId="0" fontId="18" fillId="0" borderId="0" xfId="3" applyFont="1" applyFill="1" applyAlignment="1">
      <alignment horizontal="left" vertical="top"/>
    </xf>
    <xf numFmtId="0" fontId="18" fillId="0" borderId="0" xfId="3" applyFont="1" applyFill="1" applyAlignment="1">
      <alignment vertical="top" wrapText="1"/>
    </xf>
    <xf numFmtId="0" fontId="3" fillId="0" borderId="0" xfId="3" applyFont="1" applyFill="1" applyAlignment="1">
      <alignment horizontal="left" vertical="top"/>
    </xf>
    <xf numFmtId="0" fontId="3" fillId="0" borderId="0" xfId="3" applyFont="1" applyFill="1" applyAlignment="1">
      <alignment vertical="top" wrapText="1"/>
    </xf>
    <xf numFmtId="0" fontId="18" fillId="0" borderId="24" xfId="3" applyFont="1" applyFill="1" applyBorder="1" applyAlignment="1">
      <alignment horizontal="center" vertical="center" textRotation="90"/>
    </xf>
    <xf numFmtId="0" fontId="18" fillId="0" borderId="25" xfId="3" applyFont="1" applyFill="1" applyBorder="1" applyAlignment="1">
      <alignment horizontal="center" vertical="center" textRotation="90"/>
    </xf>
    <xf numFmtId="0" fontId="12" fillId="0" borderId="0" xfId="8" applyFont="1" applyFill="1" applyBorder="1" applyAlignment="1">
      <alignment horizontal="center"/>
    </xf>
    <xf numFmtId="1" fontId="5" fillId="0" borderId="0" xfId="8" applyNumberFormat="1" applyFont="1" applyFill="1"/>
    <xf numFmtId="0" fontId="2" fillId="0" borderId="0" xfId="8" applyFont="1" applyFill="1" applyAlignment="1">
      <alignment horizontal="right"/>
    </xf>
    <xf numFmtId="1" fontId="5" fillId="0" borderId="0" xfId="8" applyNumberFormat="1" applyFont="1" applyFill="1" applyAlignment="1">
      <alignment horizontal="right"/>
    </xf>
    <xf numFmtId="165" fontId="12" fillId="0" borderId="0" xfId="8" applyNumberFormat="1" applyFont="1" applyFill="1" applyAlignment="1">
      <alignment horizontal="center"/>
    </xf>
    <xf numFmtId="0" fontId="12" fillId="0" borderId="1" xfId="8" applyFont="1" applyFill="1" applyBorder="1" applyAlignment="1">
      <alignment horizontal="center"/>
    </xf>
    <xf numFmtId="0" fontId="2" fillId="0" borderId="1" xfId="8" applyFont="1" applyFill="1" applyBorder="1" applyAlignment="1">
      <alignment horizontal="center"/>
    </xf>
    <xf numFmtId="49" fontId="5" fillId="0" borderId="10" xfId="7" applyNumberFormat="1" applyFont="1" applyFill="1" applyBorder="1" applyAlignment="1">
      <alignment horizontal="center"/>
    </xf>
    <xf numFmtId="165" fontId="4" fillId="0" borderId="52" xfId="7" applyNumberFormat="1" applyFont="1" applyFill="1" applyBorder="1" applyAlignment="1">
      <alignment horizontal="right"/>
    </xf>
    <xf numFmtId="1" fontId="4" fillId="0" borderId="52" xfId="7" applyNumberFormat="1" applyFont="1" applyFill="1" applyBorder="1"/>
    <xf numFmtId="49" fontId="5" fillId="0" borderId="86" xfId="0" applyNumberFormat="1" applyFont="1" applyFill="1" applyBorder="1" applyAlignment="1">
      <alignment vertical="center"/>
    </xf>
    <xf numFmtId="1" fontId="4" fillId="0" borderId="85" xfId="7" applyNumberFormat="1" applyFont="1" applyFill="1" applyBorder="1"/>
    <xf numFmtId="165" fontId="4" fillId="0" borderId="22" xfId="7" applyNumberFormat="1" applyFont="1" applyFill="1" applyBorder="1" applyAlignment="1">
      <alignment horizontal="right"/>
    </xf>
    <xf numFmtId="1" fontId="5" fillId="0" borderId="60" xfId="7" applyNumberFormat="1" applyFont="1" applyFill="1" applyBorder="1"/>
    <xf numFmtId="1" fontId="5" fillId="0" borderId="52" xfId="7" applyNumberFormat="1" applyFont="1" applyFill="1" applyBorder="1" applyAlignment="1">
      <alignment horizontal="right"/>
    </xf>
    <xf numFmtId="1" fontId="5" fillId="0" borderId="13" xfId="7" applyNumberFormat="1" applyFont="1" applyFill="1" applyBorder="1" applyAlignment="1">
      <alignment wrapText="1"/>
    </xf>
    <xf numFmtId="1" fontId="5" fillId="0" borderId="52" xfId="7" applyNumberFormat="1" applyFont="1" applyFill="1" applyBorder="1" applyAlignment="1">
      <alignment wrapText="1"/>
    </xf>
    <xf numFmtId="1" fontId="5" fillId="0" borderId="22" xfId="7" applyNumberFormat="1" applyFont="1" applyFill="1" applyBorder="1" applyAlignment="1">
      <alignment wrapText="1"/>
    </xf>
    <xf numFmtId="49" fontId="5" fillId="0" borderId="85" xfId="7" applyNumberFormat="1" applyFont="1" applyFill="1" applyBorder="1" applyAlignment="1">
      <alignment horizontal="left"/>
    </xf>
    <xf numFmtId="165" fontId="5" fillId="0" borderId="52" xfId="7" applyNumberFormat="1" applyFont="1" applyFill="1" applyBorder="1" applyAlignment="1">
      <alignment horizontal="right"/>
    </xf>
    <xf numFmtId="1" fontId="4" fillId="0" borderId="60" xfId="7" applyNumberFormat="1" applyFont="1" applyFill="1" applyBorder="1"/>
    <xf numFmtId="165" fontId="4" fillId="0" borderId="90" xfId="7" applyNumberFormat="1" applyFont="1" applyFill="1" applyBorder="1" applyAlignment="1">
      <alignment horizontal="right"/>
    </xf>
    <xf numFmtId="165" fontId="4" fillId="0" borderId="52" xfId="7" applyNumberFormat="1" applyFont="1" applyFill="1" applyBorder="1"/>
    <xf numFmtId="49" fontId="5" fillId="0" borderId="52" xfId="7" applyNumberFormat="1" applyFont="1" applyFill="1" applyBorder="1" applyAlignment="1">
      <alignment horizontal="left"/>
    </xf>
    <xf numFmtId="1" fontId="5" fillId="0" borderId="52" xfId="7" applyNumberFormat="1" applyFont="1" applyFill="1" applyBorder="1" applyAlignment="1">
      <alignment horizontal="left" vertical="top" wrapText="1"/>
    </xf>
    <xf numFmtId="1" fontId="5" fillId="0" borderId="23" xfId="7" applyNumberFormat="1" applyFont="1" applyFill="1" applyBorder="1" applyAlignment="1">
      <alignment horizontal="right"/>
    </xf>
    <xf numFmtId="165" fontId="5" fillId="0" borderId="12" xfId="7" applyNumberFormat="1" applyFont="1" applyFill="1" applyBorder="1"/>
    <xf numFmtId="165" fontId="5" fillId="0" borderId="45" xfId="7" applyNumberFormat="1" applyFont="1" applyFill="1" applyBorder="1" applyAlignment="1">
      <alignment horizontal="right"/>
    </xf>
    <xf numFmtId="1" fontId="5" fillId="0" borderId="60" xfId="7" applyNumberFormat="1" applyFont="1" applyFill="1" applyBorder="1" applyAlignment="1">
      <alignment horizontal="center"/>
    </xf>
    <xf numFmtId="1" fontId="5" fillId="0" borderId="45" xfId="7" applyNumberFormat="1" applyFont="1" applyFill="1" applyBorder="1" applyAlignment="1">
      <alignment horizontal="right"/>
    </xf>
    <xf numFmtId="1" fontId="5" fillId="0" borderId="60" xfId="7" applyNumberFormat="1" applyFont="1" applyFill="1" applyBorder="1" applyAlignment="1">
      <alignment horizontal="left" wrapText="1"/>
    </xf>
    <xf numFmtId="1" fontId="5" fillId="0" borderId="52" xfId="7" applyNumberFormat="1" applyFont="1" applyFill="1" applyBorder="1" applyAlignment="1">
      <alignment horizontal="left" wrapText="1"/>
    </xf>
    <xf numFmtId="165" fontId="5" fillId="0" borderId="70" xfId="7" applyNumberFormat="1" applyFont="1" applyFill="1" applyBorder="1"/>
    <xf numFmtId="165" fontId="4" fillId="0" borderId="90" xfId="7" applyNumberFormat="1" applyFont="1" applyFill="1" applyBorder="1"/>
    <xf numFmtId="1" fontId="4" fillId="0" borderId="52" xfId="7" applyNumberFormat="1" applyFont="1" applyFill="1" applyBorder="1" applyAlignment="1">
      <alignment wrapText="1"/>
    </xf>
    <xf numFmtId="165" fontId="4" fillId="0" borderId="29" xfId="7" applyNumberFormat="1" applyFont="1" applyFill="1" applyBorder="1"/>
    <xf numFmtId="165" fontId="4" fillId="0" borderId="60" xfId="7" applyNumberFormat="1" applyFont="1" applyFill="1" applyBorder="1"/>
    <xf numFmtId="0" fontId="2" fillId="0" borderId="60" xfId="8" applyFont="1" applyFill="1" applyBorder="1"/>
    <xf numFmtId="165" fontId="5" fillId="0" borderId="22" xfId="7" applyNumberFormat="1" applyFont="1" applyFill="1" applyBorder="1"/>
    <xf numFmtId="1" fontId="5" fillId="0" borderId="91" xfId="7" applyNumberFormat="1" applyFont="1" applyFill="1" applyBorder="1" applyAlignment="1">
      <alignment horizontal="right"/>
    </xf>
    <xf numFmtId="165" fontId="4" fillId="0" borderId="45" xfId="7" applyNumberFormat="1" applyFont="1" applyFill="1" applyBorder="1" applyAlignment="1">
      <alignment horizontal="right"/>
    </xf>
    <xf numFmtId="165" fontId="4" fillId="0" borderId="22" xfId="7" applyNumberFormat="1" applyFont="1" applyFill="1" applyBorder="1"/>
    <xf numFmtId="165" fontId="4" fillId="0" borderId="91" xfId="7" applyNumberFormat="1" applyFont="1" applyFill="1" applyBorder="1" applyAlignment="1">
      <alignment horizontal="right"/>
    </xf>
    <xf numFmtId="165" fontId="4" fillId="0" borderId="72" xfId="7" applyNumberFormat="1" applyFont="1" applyFill="1" applyBorder="1"/>
    <xf numFmtId="165" fontId="22" fillId="0" borderId="90" xfId="7" applyNumberFormat="1" applyFont="1" applyFill="1" applyBorder="1"/>
    <xf numFmtId="165" fontId="22" fillId="0" borderId="52" xfId="7" applyNumberFormat="1" applyFont="1" applyFill="1" applyBorder="1"/>
    <xf numFmtId="1" fontId="5" fillId="0" borderId="13" xfId="7" applyNumberFormat="1" applyFont="1" applyFill="1" applyBorder="1"/>
    <xf numFmtId="1" fontId="5" fillId="0" borderId="22" xfId="7" applyNumberFormat="1" applyFont="1" applyFill="1" applyBorder="1"/>
    <xf numFmtId="165" fontId="5" fillId="0" borderId="52" xfId="7" applyNumberFormat="1" applyFont="1" applyFill="1" applyBorder="1" applyAlignment="1">
      <alignment horizontal="left" vertical="top" wrapText="1"/>
    </xf>
    <xf numFmtId="1" fontId="5" fillId="0" borderId="91" xfId="7" applyNumberFormat="1" applyFont="1" applyFill="1" applyBorder="1"/>
    <xf numFmtId="1" fontId="4" fillId="0" borderId="45" xfId="7" applyNumberFormat="1" applyFont="1" applyFill="1" applyBorder="1"/>
    <xf numFmtId="1" fontId="15" fillId="0" borderId="52" xfId="7" applyNumberFormat="1" applyFont="1" applyFill="1" applyBorder="1"/>
    <xf numFmtId="1" fontId="15" fillId="0" borderId="45" xfId="7" applyNumberFormat="1" applyFont="1" applyFill="1" applyBorder="1"/>
    <xf numFmtId="165" fontId="5" fillId="0" borderId="91" xfId="7" applyNumberFormat="1" applyFont="1" applyFill="1" applyBorder="1"/>
    <xf numFmtId="1" fontId="5" fillId="0" borderId="52" xfId="7" applyNumberFormat="1" applyFont="1" applyFill="1" applyBorder="1" applyAlignment="1">
      <alignment horizontal="center"/>
    </xf>
    <xf numFmtId="0" fontId="2" fillId="0" borderId="52" xfId="8" applyFont="1" applyFill="1" applyBorder="1"/>
    <xf numFmtId="165" fontId="5" fillId="0" borderId="52" xfId="7" applyNumberFormat="1" applyFont="1" applyFill="1" applyBorder="1" applyAlignment="1">
      <alignment wrapText="1"/>
    </xf>
    <xf numFmtId="165" fontId="4" fillId="0" borderId="54" xfId="7" applyNumberFormat="1" applyFont="1" applyFill="1" applyBorder="1"/>
    <xf numFmtId="49" fontId="5" fillId="0" borderId="12" xfId="7" applyNumberFormat="1" applyFont="1" applyFill="1" applyBorder="1" applyAlignment="1">
      <alignment horizontal="center"/>
    </xf>
    <xf numFmtId="165" fontId="4" fillId="0" borderId="40" xfId="7" applyNumberFormat="1" applyFont="1" applyFill="1" applyBorder="1"/>
    <xf numFmtId="49" fontId="5" fillId="0" borderId="0" xfId="7" applyNumberFormat="1" applyFont="1" applyFill="1" applyBorder="1" applyAlignment="1">
      <alignment horizontal="left"/>
    </xf>
    <xf numFmtId="1" fontId="5" fillId="0" borderId="23" xfId="7" applyNumberFormat="1" applyFont="1" applyFill="1" applyBorder="1"/>
    <xf numFmtId="1" fontId="4" fillId="0" borderId="22" xfId="7" applyNumberFormat="1" applyFont="1" applyFill="1" applyBorder="1"/>
    <xf numFmtId="1" fontId="4" fillId="0" borderId="91" xfId="7" applyNumberFormat="1" applyFont="1" applyFill="1" applyBorder="1"/>
    <xf numFmtId="165" fontId="4" fillId="0" borderId="41" xfId="7" applyNumberFormat="1" applyFont="1" applyFill="1" applyBorder="1"/>
    <xf numFmtId="1" fontId="5" fillId="0" borderId="52" xfId="0" applyNumberFormat="1" applyFont="1" applyFill="1" applyBorder="1" applyAlignment="1">
      <alignment horizontal="right"/>
    </xf>
    <xf numFmtId="1" fontId="5" fillId="0" borderId="45" xfId="0" applyNumberFormat="1" applyFont="1" applyFill="1" applyBorder="1" applyAlignment="1">
      <alignment horizontal="right"/>
    </xf>
    <xf numFmtId="1" fontId="5" fillId="0" borderId="52" xfId="0" applyNumberFormat="1" applyFont="1" applyFill="1" applyBorder="1" applyAlignment="1">
      <alignment horizontal="left" wrapText="1"/>
    </xf>
    <xf numFmtId="1" fontId="5" fillId="0" borderId="79" xfId="0" applyNumberFormat="1" applyFont="1" applyFill="1" applyBorder="1" applyAlignment="1">
      <alignment horizontal="right"/>
    </xf>
    <xf numFmtId="1" fontId="5" fillId="0" borderId="52" xfId="0" applyNumberFormat="1" applyFont="1" applyFill="1" applyBorder="1" applyAlignment="1">
      <alignment horizontal="left"/>
    </xf>
    <xf numFmtId="1" fontId="5" fillId="0" borderId="52" xfId="0" applyNumberFormat="1" applyFont="1" applyFill="1" applyBorder="1" applyAlignment="1"/>
    <xf numFmtId="1" fontId="5" fillId="0" borderId="22" xfId="0" applyNumberFormat="1" applyFont="1" applyFill="1" applyBorder="1" applyAlignment="1"/>
    <xf numFmtId="1" fontId="5" fillId="0" borderId="91" xfId="0" applyNumberFormat="1" applyFont="1" applyFill="1" applyBorder="1" applyAlignment="1">
      <alignment horizontal="right"/>
    </xf>
    <xf numFmtId="49" fontId="5" fillId="0" borderId="52" xfId="7" applyNumberFormat="1" applyFont="1" applyFill="1" applyBorder="1" applyAlignment="1">
      <alignment horizontal="right" wrapText="1"/>
    </xf>
    <xf numFmtId="49" fontId="5" fillId="0" borderId="45" xfId="7" applyNumberFormat="1" applyFont="1" applyFill="1" applyBorder="1" applyAlignment="1">
      <alignment horizontal="right" wrapText="1"/>
    </xf>
    <xf numFmtId="49" fontId="5" fillId="0" borderId="52" xfId="7" applyNumberFormat="1" applyFont="1" applyFill="1" applyBorder="1" applyAlignment="1"/>
    <xf numFmtId="49" fontId="5" fillId="0" borderId="52" xfId="7" applyNumberFormat="1" applyFont="1" applyFill="1" applyBorder="1" applyAlignment="1">
      <alignment wrapText="1"/>
    </xf>
    <xf numFmtId="165" fontId="5" fillId="0" borderId="12" xfId="7" applyNumberFormat="1" applyFont="1" applyFill="1" applyBorder="1" applyAlignment="1">
      <alignment horizontal="right"/>
    </xf>
    <xf numFmtId="49" fontId="5" fillId="0" borderId="22" xfId="7" applyNumberFormat="1" applyFont="1" applyFill="1" applyBorder="1" applyAlignment="1">
      <alignment horizontal="left"/>
    </xf>
    <xf numFmtId="1" fontId="5" fillId="0" borderId="45" xfId="7" applyNumberFormat="1" applyFont="1" applyFill="1" applyBorder="1" applyAlignment="1">
      <alignment horizontal="center"/>
    </xf>
    <xf numFmtId="1" fontId="5" fillId="0" borderId="13" xfId="7" applyNumberFormat="1" applyFont="1" applyFill="1" applyBorder="1" applyAlignment="1">
      <alignment horizontal="center"/>
    </xf>
    <xf numFmtId="1" fontId="5" fillId="0" borderId="79" xfId="7" applyNumberFormat="1" applyFont="1" applyFill="1" applyBorder="1" applyAlignment="1">
      <alignment horizontal="center"/>
    </xf>
    <xf numFmtId="1" fontId="5" fillId="0" borderId="91" xfId="7" applyNumberFormat="1" applyFont="1" applyFill="1" applyBorder="1" applyAlignment="1">
      <alignment horizontal="center"/>
    </xf>
    <xf numFmtId="165" fontId="5" fillId="0" borderId="52" xfId="7" applyNumberFormat="1" applyFont="1" applyFill="1" applyBorder="1" applyAlignment="1">
      <alignment horizontal="center"/>
    </xf>
    <xf numFmtId="165" fontId="5" fillId="0" borderId="45" xfId="7" applyNumberFormat="1" applyFont="1" applyFill="1" applyBorder="1" applyAlignment="1">
      <alignment horizontal="center"/>
    </xf>
    <xf numFmtId="1" fontId="5" fillId="0" borderId="70" xfId="7" applyNumberFormat="1" applyFont="1" applyFill="1" applyBorder="1" applyAlignment="1">
      <alignment horizontal="center"/>
    </xf>
    <xf numFmtId="1" fontId="5" fillId="0" borderId="78" xfId="7" applyNumberFormat="1" applyFont="1" applyFill="1" applyBorder="1" applyAlignment="1">
      <alignment horizontal="center"/>
    </xf>
    <xf numFmtId="1" fontId="4" fillId="0" borderId="34" xfId="7" applyNumberFormat="1" applyFont="1" applyFill="1" applyBorder="1" applyAlignment="1">
      <alignment horizontal="center"/>
    </xf>
    <xf numFmtId="1" fontId="4" fillId="0" borderId="37" xfId="7" applyNumberFormat="1" applyFont="1" applyFill="1" applyBorder="1" applyAlignment="1">
      <alignment horizontal="center"/>
    </xf>
    <xf numFmtId="1" fontId="4" fillId="0" borderId="0" xfId="7" applyNumberFormat="1" applyFont="1" applyFill="1" applyBorder="1" applyAlignment="1">
      <alignment horizontal="center"/>
    </xf>
    <xf numFmtId="1" fontId="5" fillId="0" borderId="2" xfId="7" applyNumberFormat="1" applyFont="1" applyFill="1" applyBorder="1" applyAlignment="1">
      <alignment horizontal="center"/>
    </xf>
    <xf numFmtId="1" fontId="5" fillId="0" borderId="0" xfId="8" applyNumberFormat="1" applyFont="1" applyFill="1" applyAlignment="1">
      <alignment horizontal="center"/>
    </xf>
    <xf numFmtId="165" fontId="14" fillId="0" borderId="45" xfId="3" applyNumberFormat="1" applyFont="1" applyFill="1" applyBorder="1" applyAlignment="1">
      <alignment horizontal="center" vertical="center" wrapText="1"/>
    </xf>
    <xf numFmtId="0" fontId="14" fillId="0" borderId="52" xfId="3" applyFont="1" applyFill="1" applyBorder="1" applyAlignment="1">
      <alignment horizontal="center" vertical="center" wrapText="1"/>
    </xf>
    <xf numFmtId="165" fontId="4" fillId="0" borderId="52" xfId="7" applyNumberFormat="1" applyFont="1" applyFill="1" applyBorder="1" applyAlignment="1">
      <alignment horizontal="center"/>
    </xf>
    <xf numFmtId="165" fontId="4" fillId="0" borderId="45" xfId="7" applyNumberFormat="1" applyFont="1" applyFill="1" applyBorder="1" applyAlignment="1">
      <alignment horizontal="center"/>
    </xf>
    <xf numFmtId="1" fontId="4" fillId="0" borderId="22" xfId="7" applyNumberFormat="1" applyFont="1" applyFill="1" applyBorder="1" applyAlignment="1">
      <alignment horizontal="center"/>
    </xf>
    <xf numFmtId="1" fontId="4" fillId="0" borderId="91" xfId="7" applyNumberFormat="1" applyFont="1" applyFill="1" applyBorder="1" applyAlignment="1">
      <alignment horizontal="center"/>
    </xf>
    <xf numFmtId="1" fontId="5" fillId="0" borderId="79" xfId="7" applyNumberFormat="1" applyFont="1" applyFill="1" applyBorder="1" applyAlignment="1">
      <alignment horizontal="right"/>
    </xf>
    <xf numFmtId="1" fontId="5" fillId="0" borderId="2" xfId="7" applyNumberFormat="1" applyFont="1" applyFill="1" applyBorder="1" applyAlignment="1">
      <alignment horizontal="right"/>
    </xf>
    <xf numFmtId="1" fontId="5" fillId="0" borderId="2" xfId="7" applyNumberFormat="1" applyFont="1" applyFill="1" applyBorder="1"/>
    <xf numFmtId="49" fontId="5" fillId="0" borderId="68" xfId="7" applyNumberFormat="1" applyFont="1" applyFill="1" applyBorder="1" applyAlignment="1">
      <alignment horizontal="center" vertical="center" textRotation="90" wrapText="1"/>
    </xf>
    <xf numFmtId="49" fontId="5" fillId="0" borderId="71" xfId="7" applyNumberFormat="1" applyFont="1" applyFill="1" applyBorder="1" applyAlignment="1">
      <alignment horizontal="left"/>
    </xf>
    <xf numFmtId="0" fontId="5" fillId="0" borderId="16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wrapText="1"/>
    </xf>
    <xf numFmtId="1" fontId="5" fillId="0" borderId="60" xfId="7" applyNumberFormat="1" applyFont="1" applyFill="1" applyBorder="1" applyAlignment="1">
      <alignment horizontal="right"/>
    </xf>
    <xf numFmtId="165" fontId="5" fillId="0" borderId="2" xfId="7" applyNumberFormat="1" applyFont="1" applyFill="1" applyBorder="1" applyAlignment="1">
      <alignment horizontal="right"/>
    </xf>
    <xf numFmtId="3" fontId="5" fillId="0" borderId="52" xfId="1" applyNumberFormat="1" applyFont="1" applyFill="1" applyBorder="1" applyAlignment="1">
      <alignment horizontal="left" vertical="top" wrapText="1"/>
    </xf>
    <xf numFmtId="3" fontId="5" fillId="0" borderId="70" xfId="1" applyNumberFormat="1" applyFont="1" applyFill="1" applyBorder="1" applyAlignment="1">
      <alignment horizontal="left" vertical="top" wrapText="1"/>
    </xf>
    <xf numFmtId="49" fontId="5" fillId="0" borderId="16" xfId="0" applyNumberFormat="1" applyFont="1" applyFill="1" applyBorder="1" applyAlignment="1">
      <alignment vertical="center" wrapText="1"/>
    </xf>
    <xf numFmtId="49" fontId="5" fillId="0" borderId="26" xfId="0" applyNumberFormat="1" applyFont="1" applyFill="1" applyBorder="1" applyAlignment="1">
      <alignment vertical="center" wrapText="1"/>
    </xf>
    <xf numFmtId="1" fontId="5" fillId="0" borderId="72" xfId="7" applyNumberFormat="1" applyFont="1" applyFill="1" applyBorder="1" applyAlignment="1">
      <alignment horizontal="left" vertical="top" wrapText="1"/>
    </xf>
    <xf numFmtId="1" fontId="5" fillId="0" borderId="70" xfId="7" applyNumberFormat="1" applyFont="1" applyFill="1" applyBorder="1" applyAlignment="1">
      <alignment horizontal="left" vertical="top" wrapText="1"/>
    </xf>
    <xf numFmtId="1" fontId="5" fillId="0" borderId="22" xfId="7" applyNumberFormat="1" applyFont="1" applyFill="1" applyBorder="1" applyAlignment="1">
      <alignment horizontal="center"/>
    </xf>
    <xf numFmtId="0" fontId="2" fillId="0" borderId="0" xfId="3" applyFont="1" applyFill="1" applyAlignment="1">
      <alignment vertical="top" wrapText="1"/>
    </xf>
    <xf numFmtId="0" fontId="9" fillId="0" borderId="0" xfId="3" applyFont="1" applyFill="1" applyAlignment="1">
      <alignment vertical="top" wrapText="1"/>
    </xf>
    <xf numFmtId="0" fontId="9" fillId="0" borderId="0" xfId="8" applyFont="1" applyFill="1" applyAlignment="1">
      <alignment horizontal="center"/>
    </xf>
    <xf numFmtId="49" fontId="9" fillId="0" borderId="0" xfId="7" applyNumberFormat="1" applyFont="1" applyFill="1" applyBorder="1" applyAlignment="1">
      <alignment horizontal="left"/>
    </xf>
    <xf numFmtId="49" fontId="9" fillId="0" borderId="6" xfId="7" applyNumberFormat="1" applyFont="1" applyFill="1" applyBorder="1" applyAlignment="1">
      <alignment horizontal="right"/>
    </xf>
    <xf numFmtId="49" fontId="2" fillId="0" borderId="6" xfId="7" applyNumberFormat="1" applyFont="1" applyFill="1" applyBorder="1" applyAlignment="1">
      <alignment horizontal="right"/>
    </xf>
    <xf numFmtId="49" fontId="9" fillId="0" borderId="0" xfId="7" applyNumberFormat="1" applyFont="1" applyFill="1" applyBorder="1" applyAlignment="1">
      <alignment horizontal="right"/>
    </xf>
    <xf numFmtId="0" fontId="11" fillId="0" borderId="0" xfId="8" applyFont="1" applyFill="1"/>
    <xf numFmtId="1" fontId="5" fillId="0" borderId="52" xfId="7" applyNumberFormat="1" applyFont="1" applyFill="1" applyBorder="1" applyAlignment="1"/>
    <xf numFmtId="1" fontId="5" fillId="0" borderId="45" xfId="7" applyNumberFormat="1" applyFont="1" applyFill="1" applyBorder="1" applyAlignment="1"/>
    <xf numFmtId="9" fontId="5" fillId="0" borderId="52" xfId="10" applyFont="1" applyFill="1" applyBorder="1" applyAlignment="1"/>
    <xf numFmtId="9" fontId="5" fillId="0" borderId="45" xfId="10" applyFont="1" applyFill="1" applyBorder="1" applyAlignment="1"/>
    <xf numFmtId="49" fontId="5" fillId="0" borderId="70" xfId="7" applyNumberFormat="1" applyFont="1" applyFill="1" applyBorder="1" applyAlignment="1"/>
    <xf numFmtId="1" fontId="4" fillId="0" borderId="22" xfId="7" applyNumberFormat="1" applyFont="1" applyFill="1" applyBorder="1" applyAlignment="1"/>
    <xf numFmtId="165" fontId="4" fillId="0" borderId="90" xfId="7" applyNumberFormat="1" applyFont="1" applyFill="1" applyBorder="1" applyAlignment="1"/>
    <xf numFmtId="165" fontId="4" fillId="0" borderId="52" xfId="7" applyNumberFormat="1" applyFont="1" applyFill="1" applyBorder="1" applyAlignment="1"/>
    <xf numFmtId="1" fontId="5" fillId="0" borderId="52" xfId="7" applyNumberFormat="1" applyFont="1" applyFill="1" applyBorder="1" applyAlignment="1">
      <alignment vertical="center"/>
    </xf>
    <xf numFmtId="1" fontId="5" fillId="0" borderId="45" xfId="7" applyNumberFormat="1" applyFont="1" applyFill="1" applyBorder="1" applyAlignment="1">
      <alignment vertical="center"/>
    </xf>
    <xf numFmtId="1" fontId="5" fillId="0" borderId="85" xfId="7" applyNumberFormat="1" applyFont="1" applyFill="1" applyBorder="1" applyAlignment="1">
      <alignment wrapText="1"/>
    </xf>
    <xf numFmtId="165" fontId="5" fillId="0" borderId="0" xfId="7" applyNumberFormat="1" applyFont="1" applyFill="1" applyBorder="1" applyAlignment="1">
      <alignment wrapText="1"/>
    </xf>
    <xf numFmtId="165" fontId="22" fillId="0" borderId="71" xfId="7" applyNumberFormat="1" applyFont="1" applyFill="1" applyBorder="1" applyAlignment="1">
      <alignment horizontal="right"/>
    </xf>
    <xf numFmtId="165" fontId="22" fillId="0" borderId="68" xfId="7" applyNumberFormat="1" applyFont="1" applyFill="1" applyBorder="1" applyAlignment="1">
      <alignment horizontal="right"/>
    </xf>
    <xf numFmtId="0" fontId="5" fillId="0" borderId="0" xfId="8" applyFont="1" applyFill="1"/>
    <xf numFmtId="165" fontId="5" fillId="0" borderId="52" xfId="7" applyNumberFormat="1" applyFont="1" applyFill="1" applyBorder="1"/>
    <xf numFmtId="165" fontId="5" fillId="0" borderId="45" xfId="7" applyNumberFormat="1" applyFont="1" applyFill="1" applyBorder="1"/>
    <xf numFmtId="1" fontId="5" fillId="0" borderId="22" xfId="0" applyNumberFormat="1" applyFont="1" applyFill="1" applyBorder="1" applyAlignment="1">
      <alignment horizontal="right"/>
    </xf>
    <xf numFmtId="49" fontId="5" fillId="0" borderId="2" xfId="7" applyNumberFormat="1" applyFont="1" applyFill="1" applyBorder="1" applyAlignment="1">
      <alignment horizontal="center"/>
    </xf>
    <xf numFmtId="49" fontId="5" fillId="0" borderId="70" xfId="7" applyNumberFormat="1" applyFont="1" applyFill="1" applyBorder="1" applyAlignment="1">
      <alignment horizontal="right" wrapText="1"/>
    </xf>
    <xf numFmtId="49" fontId="5" fillId="0" borderId="78" xfId="7" applyNumberFormat="1" applyFont="1" applyFill="1" applyBorder="1" applyAlignment="1">
      <alignment horizontal="right" wrapText="1"/>
    </xf>
    <xf numFmtId="49" fontId="5" fillId="0" borderId="70" xfId="7" applyNumberFormat="1" applyFont="1" applyFill="1" applyBorder="1" applyAlignment="1">
      <alignment horizontal="left" wrapText="1"/>
    </xf>
    <xf numFmtId="49" fontId="5" fillId="0" borderId="60" xfId="7" applyNumberFormat="1" applyFont="1" applyFill="1" applyBorder="1" applyAlignment="1">
      <alignment wrapText="1"/>
    </xf>
    <xf numFmtId="1" fontId="5" fillId="0" borderId="60" xfId="0" applyNumberFormat="1" applyFont="1" applyFill="1" applyBorder="1" applyAlignment="1"/>
    <xf numFmtId="1" fontId="5" fillId="0" borderId="85" xfId="0" applyNumberFormat="1" applyFont="1" applyFill="1" applyBorder="1" applyAlignment="1"/>
    <xf numFmtId="10" fontId="5" fillId="0" borderId="52" xfId="10" applyNumberFormat="1" applyFont="1" applyFill="1" applyBorder="1"/>
    <xf numFmtId="10" fontId="5" fillId="0" borderId="45" xfId="10" applyNumberFormat="1" applyFont="1" applyFill="1" applyBorder="1"/>
    <xf numFmtId="167" fontId="5" fillId="0" borderId="89" xfId="10" applyNumberFormat="1" applyFont="1" applyFill="1" applyBorder="1"/>
    <xf numFmtId="49" fontId="5" fillId="0" borderId="72" xfId="7" applyNumberFormat="1" applyFont="1" applyFill="1" applyBorder="1" applyAlignment="1">
      <alignment horizontal="left"/>
    </xf>
    <xf numFmtId="165" fontId="4" fillId="0" borderId="70" xfId="7" applyNumberFormat="1" applyFont="1" applyFill="1" applyBorder="1"/>
    <xf numFmtId="165" fontId="4" fillId="0" borderId="70" xfId="7" applyNumberFormat="1" applyFont="1" applyFill="1" applyBorder="1" applyAlignment="1">
      <alignment horizontal="center"/>
    </xf>
    <xf numFmtId="165" fontId="4" fillId="0" borderId="78" xfId="7" applyNumberFormat="1" applyFont="1" applyFill="1" applyBorder="1" applyAlignment="1">
      <alignment horizontal="center"/>
    </xf>
    <xf numFmtId="165" fontId="4" fillId="0" borderId="68" xfId="7" applyNumberFormat="1" applyFont="1" applyFill="1" applyBorder="1"/>
    <xf numFmtId="1" fontId="5" fillId="0" borderId="2" xfId="7" applyNumberFormat="1" applyFont="1" applyFill="1" applyBorder="1" applyAlignment="1">
      <alignment horizontal="left" vertical="center" wrapText="1"/>
    </xf>
    <xf numFmtId="1" fontId="5" fillId="0" borderId="85" xfId="7" applyNumberFormat="1" applyFont="1" applyFill="1" applyBorder="1"/>
    <xf numFmtId="167" fontId="4" fillId="0" borderId="52" xfId="11" applyNumberFormat="1" applyFont="1" applyFill="1" applyBorder="1" applyAlignment="1">
      <alignment horizontal="right" vertical="center" wrapText="1"/>
    </xf>
    <xf numFmtId="165" fontId="5" fillId="0" borderId="78" xfId="7" applyNumberFormat="1" applyFont="1" applyFill="1" applyBorder="1" applyAlignment="1">
      <alignment horizontal="right"/>
    </xf>
    <xf numFmtId="165" fontId="4" fillId="0" borderId="70" xfId="7" applyNumberFormat="1" applyFont="1" applyFill="1" applyBorder="1" applyAlignment="1">
      <alignment horizontal="right"/>
    </xf>
    <xf numFmtId="165" fontId="4" fillId="0" borderId="78" xfId="7" applyNumberFormat="1" applyFont="1" applyFill="1" applyBorder="1" applyAlignment="1">
      <alignment horizontal="right"/>
    </xf>
    <xf numFmtId="49" fontId="5" fillId="0" borderId="70" xfId="7" applyNumberFormat="1" applyFont="1" applyFill="1" applyBorder="1" applyAlignment="1">
      <alignment horizontal="left"/>
    </xf>
    <xf numFmtId="49" fontId="5" fillId="0" borderId="24" xfId="0" applyNumberFormat="1" applyFont="1" applyFill="1" applyBorder="1" applyAlignment="1">
      <alignment vertical="center"/>
    </xf>
    <xf numFmtId="1" fontId="2" fillId="0" borderId="0" xfId="8" applyNumberFormat="1" applyFont="1" applyFill="1"/>
    <xf numFmtId="165" fontId="5" fillId="0" borderId="85" xfId="7" applyNumberFormat="1" applyFont="1" applyFill="1" applyBorder="1"/>
    <xf numFmtId="49" fontId="4" fillId="0" borderId="85" xfId="7" applyNumberFormat="1" applyFont="1" applyFill="1" applyBorder="1" applyAlignment="1">
      <alignment wrapText="1"/>
    </xf>
    <xf numFmtId="49" fontId="5" fillId="0" borderId="60" xfId="7" applyNumberFormat="1" applyFont="1" applyFill="1" applyBorder="1" applyAlignment="1">
      <alignment horizontal="left" wrapText="1"/>
    </xf>
    <xf numFmtId="1" fontId="5" fillId="0" borderId="60" xfId="7" applyNumberFormat="1" applyFont="1" applyFill="1" applyBorder="1" applyAlignment="1">
      <alignment horizontal="left" vertical="top" wrapText="1"/>
    </xf>
    <xf numFmtId="1" fontId="5" fillId="0" borderId="78" xfId="7" applyNumberFormat="1" applyFont="1" applyFill="1" applyBorder="1" applyAlignment="1"/>
    <xf numFmtId="1" fontId="5" fillId="0" borderId="91" xfId="7" applyNumberFormat="1" applyFont="1" applyFill="1" applyBorder="1" applyAlignment="1"/>
    <xf numFmtId="1" fontId="5" fillId="0" borderId="70" xfId="7" applyNumberFormat="1" applyFont="1" applyFill="1" applyBorder="1" applyAlignment="1"/>
    <xf numFmtId="1" fontId="5" fillId="0" borderId="22" xfId="7" applyNumberFormat="1" applyFont="1" applyFill="1" applyBorder="1" applyAlignment="1"/>
    <xf numFmtId="1" fontId="5" fillId="0" borderId="60" xfId="7" applyNumberFormat="1" applyFont="1" applyFill="1" applyBorder="1" applyAlignment="1"/>
    <xf numFmtId="1" fontId="5" fillId="0" borderId="79" xfId="7" applyNumberFormat="1" applyFont="1" applyFill="1" applyBorder="1" applyAlignment="1"/>
    <xf numFmtId="168" fontId="5" fillId="0" borderId="52" xfId="6" applyNumberFormat="1" applyFont="1" applyFill="1" applyBorder="1" applyAlignment="1">
      <alignment horizontal="center"/>
    </xf>
    <xf numFmtId="168" fontId="5" fillId="0" borderId="45" xfId="6" applyNumberFormat="1" applyFont="1" applyFill="1" applyBorder="1" applyAlignment="1">
      <alignment horizontal="center"/>
    </xf>
    <xf numFmtId="165" fontId="2" fillId="0" borderId="0" xfId="8" applyNumberFormat="1" applyFont="1" applyFill="1"/>
    <xf numFmtId="0" fontId="2" fillId="0" borderId="0" xfId="8" applyFont="1" applyFill="1"/>
    <xf numFmtId="1" fontId="5" fillId="0" borderId="52" xfId="7" applyNumberFormat="1" applyFont="1" applyFill="1" applyBorder="1"/>
    <xf numFmtId="1" fontId="5" fillId="0" borderId="45" xfId="7" applyNumberFormat="1" applyFont="1" applyFill="1" applyBorder="1"/>
    <xf numFmtId="1" fontId="5" fillId="0" borderId="70" xfId="7" applyNumberFormat="1" applyFont="1" applyFill="1" applyBorder="1"/>
    <xf numFmtId="1" fontId="5" fillId="0" borderId="78" xfId="7" applyNumberFormat="1" applyFont="1" applyFill="1" applyBorder="1"/>
    <xf numFmtId="49" fontId="5" fillId="0" borderId="70" xfId="7" applyNumberFormat="1" applyFont="1" applyFill="1" applyBorder="1" applyAlignment="1">
      <alignment wrapText="1"/>
    </xf>
    <xf numFmtId="165" fontId="5" fillId="0" borderId="70" xfId="7" applyNumberFormat="1" applyFont="1" applyFill="1" applyBorder="1" applyAlignment="1">
      <alignment vertical="top" wrapText="1"/>
    </xf>
    <xf numFmtId="1" fontId="5" fillId="0" borderId="78" xfId="7" applyNumberFormat="1" applyFont="1" applyFill="1" applyBorder="1" applyAlignment="1">
      <alignment wrapText="1"/>
    </xf>
    <xf numFmtId="165" fontId="4" fillId="0" borderId="60" xfId="7" applyNumberFormat="1" applyFont="1" applyFill="1" applyBorder="1" applyAlignment="1"/>
    <xf numFmtId="49" fontId="4" fillId="0" borderId="22" xfId="7" applyNumberFormat="1" applyFont="1" applyFill="1" applyBorder="1" applyAlignment="1">
      <alignment horizontal="left" wrapText="1"/>
    </xf>
    <xf numFmtId="165" fontId="5" fillId="0" borderId="2" xfId="7" applyNumberFormat="1" applyFont="1" applyFill="1" applyBorder="1"/>
    <xf numFmtId="1" fontId="5" fillId="0" borderId="60" xfId="7" applyNumberFormat="1" applyFont="1" applyFill="1" applyBorder="1" applyAlignment="1">
      <alignment wrapText="1"/>
    </xf>
    <xf numFmtId="1" fontId="5" fillId="0" borderId="57" xfId="7" applyNumberFormat="1" applyFont="1" applyFill="1" applyBorder="1" applyAlignment="1">
      <alignment horizontal="center" vertical="center"/>
    </xf>
    <xf numFmtId="1" fontId="5" fillId="0" borderId="58" xfId="7" applyNumberFormat="1" applyFont="1" applyFill="1" applyBorder="1" applyAlignment="1">
      <alignment horizontal="center" vertical="center"/>
    </xf>
    <xf numFmtId="1" fontId="5" fillId="0" borderId="25" xfId="7" applyNumberFormat="1" applyFont="1" applyFill="1" applyBorder="1" applyAlignment="1">
      <alignment horizontal="center" vertical="center"/>
    </xf>
    <xf numFmtId="1" fontId="5" fillId="0" borderId="13" xfId="7" applyNumberFormat="1" applyFont="1" applyFill="1" applyBorder="1" applyAlignment="1">
      <alignment horizontal="center" vertical="center"/>
    </xf>
    <xf numFmtId="1" fontId="5" fillId="0" borderId="55" xfId="7" applyNumberFormat="1" applyFont="1" applyFill="1" applyBorder="1" applyAlignment="1">
      <alignment horizontal="center" vertical="center"/>
    </xf>
    <xf numFmtId="165" fontId="5" fillId="0" borderId="12" xfId="7" applyNumberFormat="1" applyFont="1" applyFill="1" applyBorder="1" applyAlignment="1">
      <alignment vertical="center" wrapText="1"/>
    </xf>
    <xf numFmtId="165" fontId="5" fillId="0" borderId="60" xfId="7" applyNumberFormat="1" applyFont="1" applyFill="1" applyBorder="1" applyAlignment="1">
      <alignment vertical="center" wrapText="1"/>
    </xf>
    <xf numFmtId="3" fontId="5" fillId="0" borderId="22" xfId="1" applyNumberFormat="1" applyFont="1" applyFill="1" applyBorder="1" applyAlignment="1">
      <alignment horizontal="left" vertical="top" wrapText="1"/>
    </xf>
    <xf numFmtId="165" fontId="5" fillId="0" borderId="2" xfId="7" applyNumberFormat="1" applyFont="1" applyFill="1" applyBorder="1" applyAlignment="1">
      <alignment vertical="center" wrapText="1"/>
    </xf>
    <xf numFmtId="1" fontId="5" fillId="0" borderId="2" xfId="7" applyNumberFormat="1" applyFont="1" applyFill="1" applyBorder="1" applyAlignment="1">
      <alignment horizontal="center" vertical="center"/>
    </xf>
    <xf numFmtId="1" fontId="5" fillId="0" borderId="24" xfId="7" applyNumberFormat="1" applyFont="1" applyFill="1" applyBorder="1" applyAlignment="1">
      <alignment horizontal="center" vertical="center"/>
    </xf>
    <xf numFmtId="3" fontId="5" fillId="0" borderId="60" xfId="1" applyNumberFormat="1" applyFont="1" applyFill="1" applyBorder="1" applyAlignment="1">
      <alignment horizontal="left" vertical="top" wrapText="1"/>
    </xf>
    <xf numFmtId="1" fontId="5" fillId="0" borderId="57" xfId="7" applyNumberFormat="1" applyFont="1" applyFill="1" applyBorder="1" applyAlignment="1">
      <alignment vertical="center" wrapText="1"/>
    </xf>
    <xf numFmtId="165" fontId="5" fillId="0" borderId="13" xfId="7" applyNumberFormat="1" applyFont="1" applyFill="1" applyBorder="1" applyAlignment="1">
      <alignment vertical="center" wrapText="1"/>
    </xf>
    <xf numFmtId="0" fontId="2" fillId="0" borderId="45" xfId="8" applyFont="1" applyFill="1" applyBorder="1" applyAlignment="1">
      <alignment horizontal="center"/>
    </xf>
    <xf numFmtId="1" fontId="5" fillId="0" borderId="2" xfId="7" applyNumberFormat="1" applyFont="1" applyFill="1" applyBorder="1" applyAlignment="1">
      <alignment vertical="center" wrapText="1"/>
    </xf>
    <xf numFmtId="1" fontId="5" fillId="0" borderId="24" xfId="7" applyNumberFormat="1" applyFont="1" applyFill="1" applyBorder="1" applyAlignment="1">
      <alignment vertical="center" wrapText="1"/>
    </xf>
    <xf numFmtId="1" fontId="5" fillId="0" borderId="13" xfId="7" applyNumberFormat="1" applyFont="1" applyFill="1" applyBorder="1" applyAlignment="1">
      <alignment vertical="center" wrapText="1"/>
    </xf>
    <xf numFmtId="165" fontId="5" fillId="0" borderId="24" xfId="7" applyNumberFormat="1" applyFont="1" applyFill="1" applyBorder="1" applyAlignment="1">
      <alignment vertical="center"/>
    </xf>
    <xf numFmtId="49" fontId="5" fillId="0" borderId="52" xfId="7" applyNumberFormat="1" applyFont="1" applyFill="1" applyBorder="1" applyAlignment="1">
      <alignment horizontal="left" vertical="center"/>
    </xf>
    <xf numFmtId="49" fontId="5" fillId="0" borderId="52" xfId="7" applyNumberFormat="1" applyFont="1" applyFill="1" applyBorder="1" applyAlignment="1">
      <alignment horizontal="center" vertical="center"/>
    </xf>
    <xf numFmtId="1" fontId="5" fillId="0" borderId="45" xfId="7" applyNumberFormat="1" applyFont="1" applyFill="1" applyBorder="1" applyAlignment="1">
      <alignment horizontal="center" vertical="center"/>
    </xf>
    <xf numFmtId="1" fontId="4" fillId="0" borderId="60" xfId="7" applyNumberFormat="1" applyFont="1" applyFill="1" applyBorder="1" applyAlignment="1">
      <alignment horizontal="center"/>
    </xf>
    <xf numFmtId="1" fontId="4" fillId="0" borderId="79" xfId="7" applyNumberFormat="1" applyFont="1" applyFill="1" applyBorder="1" applyAlignment="1">
      <alignment horizontal="center"/>
    </xf>
    <xf numFmtId="1" fontId="5" fillId="0" borderId="24" xfId="7" applyNumberFormat="1" applyFont="1" applyFill="1" applyBorder="1" applyAlignment="1">
      <alignment vertical="center"/>
    </xf>
    <xf numFmtId="1" fontId="5" fillId="0" borderId="2" xfId="7" applyNumberFormat="1" applyFont="1" applyFill="1" applyBorder="1" applyAlignment="1">
      <alignment vertical="center"/>
    </xf>
    <xf numFmtId="165" fontId="5" fillId="0" borderId="70" xfId="7" applyNumberFormat="1" applyFont="1" applyFill="1" applyBorder="1" applyAlignment="1">
      <alignment horizontal="right"/>
    </xf>
    <xf numFmtId="1" fontId="5" fillId="0" borderId="60" xfId="7" applyNumberFormat="1" applyFont="1" applyFill="1" applyBorder="1" applyAlignment="1">
      <alignment horizontal="right" wrapText="1"/>
    </xf>
    <xf numFmtId="1" fontId="5" fillId="0" borderId="70" xfId="7" applyNumberFormat="1" applyFont="1" applyFill="1" applyBorder="1" applyAlignment="1">
      <alignment horizontal="right"/>
    </xf>
    <xf numFmtId="1" fontId="5" fillId="0" borderId="78" xfId="7" applyNumberFormat="1" applyFont="1" applyFill="1" applyBorder="1" applyAlignment="1">
      <alignment horizontal="right"/>
    </xf>
    <xf numFmtId="1" fontId="5" fillId="0" borderId="70" xfId="7" applyNumberFormat="1" applyFont="1" applyFill="1" applyBorder="1" applyAlignment="1">
      <alignment wrapText="1"/>
    </xf>
    <xf numFmtId="1" fontId="5" fillId="0" borderId="57" xfId="7" applyNumberFormat="1" applyFont="1" applyFill="1" applyBorder="1" applyAlignment="1">
      <alignment horizontal="right" vertical="center"/>
    </xf>
    <xf numFmtId="1" fontId="5" fillId="0" borderId="2" xfId="7" applyNumberFormat="1" applyFont="1" applyFill="1" applyBorder="1" applyAlignment="1">
      <alignment horizontal="right" vertical="center"/>
    </xf>
    <xf numFmtId="1" fontId="5" fillId="0" borderId="23" xfId="7" applyNumberFormat="1" applyFont="1" applyFill="1" applyBorder="1" applyAlignment="1">
      <alignment horizontal="right" vertical="center"/>
    </xf>
    <xf numFmtId="165" fontId="4" fillId="0" borderId="66" xfId="7" applyNumberFormat="1" applyFont="1" applyFill="1" applyBorder="1" applyAlignment="1">
      <alignment horizontal="right" vertical="top"/>
    </xf>
    <xf numFmtId="165" fontId="4" fillId="0" borderId="22" xfId="7" applyNumberFormat="1" applyFont="1" applyFill="1" applyBorder="1" applyAlignment="1">
      <alignment horizontal="right" vertical="top"/>
    </xf>
    <xf numFmtId="49" fontId="4" fillId="0" borderId="22" xfId="7" applyNumberFormat="1" applyFont="1" applyFill="1" applyBorder="1" applyAlignment="1">
      <alignment horizontal="left" vertical="top" wrapText="1"/>
    </xf>
    <xf numFmtId="1" fontId="5" fillId="0" borderId="58" xfId="7" applyNumberFormat="1" applyFont="1" applyFill="1" applyBorder="1" applyAlignment="1">
      <alignment horizontal="right" vertical="center"/>
    </xf>
    <xf numFmtId="49" fontId="5" fillId="0" borderId="60" xfId="0" applyNumberFormat="1" applyFont="1" applyFill="1" applyBorder="1" applyAlignment="1">
      <alignment horizontal="right" vertical="center"/>
    </xf>
    <xf numFmtId="49" fontId="5" fillId="0" borderId="79" xfId="0" applyNumberFormat="1" applyFont="1" applyFill="1" applyBorder="1" applyAlignment="1">
      <alignment horizontal="right" vertical="center"/>
    </xf>
    <xf numFmtId="1" fontId="5" fillId="0" borderId="24" xfId="7" applyNumberFormat="1" applyFont="1" applyFill="1" applyBorder="1" applyAlignment="1">
      <alignment horizontal="right" vertical="center"/>
    </xf>
    <xf numFmtId="1" fontId="5" fillId="0" borderId="25" xfId="7" applyNumberFormat="1" applyFont="1" applyFill="1" applyBorder="1" applyAlignment="1">
      <alignment horizontal="right" vertical="center"/>
    </xf>
    <xf numFmtId="1" fontId="29" fillId="0" borderId="71" xfId="7" applyNumberFormat="1" applyFont="1" applyFill="1" applyBorder="1" applyAlignment="1">
      <alignment vertical="top"/>
    </xf>
    <xf numFmtId="165" fontId="4" fillId="0" borderId="72" xfId="7" applyNumberFormat="1" applyFont="1" applyFill="1" applyBorder="1" applyAlignment="1">
      <alignment horizontal="right" vertical="top"/>
    </xf>
    <xf numFmtId="165" fontId="4" fillId="0" borderId="36" xfId="7" applyNumberFormat="1" applyFont="1" applyFill="1" applyBorder="1" applyAlignment="1">
      <alignment horizontal="right" vertical="top"/>
    </xf>
    <xf numFmtId="165" fontId="4" fillId="0" borderId="35" xfId="7" applyNumberFormat="1" applyFont="1" applyFill="1" applyBorder="1" applyAlignment="1">
      <alignment horizontal="right" vertical="top"/>
    </xf>
    <xf numFmtId="165" fontId="4" fillId="0" borderId="52" xfId="7" applyNumberFormat="1" applyFont="1" applyFill="1" applyBorder="1" applyAlignment="1">
      <alignment horizontal="right" vertical="top"/>
    </xf>
    <xf numFmtId="165" fontId="22" fillId="0" borderId="35" xfId="7" applyNumberFormat="1" applyFont="1" applyFill="1" applyBorder="1" applyAlignment="1">
      <alignment horizontal="right" vertical="top"/>
    </xf>
    <xf numFmtId="1" fontId="4" fillId="0" borderId="52" xfId="7" applyNumberFormat="1" applyFont="1" applyFill="1" applyBorder="1" applyAlignment="1">
      <alignment vertical="top"/>
    </xf>
    <xf numFmtId="165" fontId="22" fillId="0" borderId="36" xfId="7" applyNumberFormat="1" applyFont="1" applyFill="1" applyBorder="1" applyAlignment="1">
      <alignment horizontal="right" vertical="top"/>
    </xf>
    <xf numFmtId="1" fontId="4" fillId="0" borderId="52" xfId="7" applyNumberFormat="1" applyFont="1" applyFill="1" applyBorder="1" applyAlignment="1">
      <alignment vertical="top" wrapText="1"/>
    </xf>
    <xf numFmtId="165" fontId="4" fillId="0" borderId="76" xfId="7" applyNumberFormat="1" applyFont="1" applyFill="1" applyBorder="1" applyAlignment="1">
      <alignment horizontal="right" vertical="top"/>
    </xf>
    <xf numFmtId="165" fontId="4" fillId="0" borderId="88" xfId="7" applyNumberFormat="1" applyFont="1" applyFill="1" applyBorder="1" applyAlignment="1">
      <alignment horizontal="right" vertical="top"/>
    </xf>
    <xf numFmtId="165" fontId="4" fillId="0" borderId="40" xfId="7" applyNumberFormat="1" applyFont="1" applyFill="1" applyBorder="1" applyAlignment="1">
      <alignment horizontal="right" vertical="top"/>
    </xf>
    <xf numFmtId="49" fontId="5" fillId="0" borderId="29" xfId="7" applyNumberFormat="1" applyFont="1" applyFill="1" applyBorder="1" applyAlignment="1">
      <alignment horizontal="center" vertical="center"/>
    </xf>
    <xf numFmtId="165" fontId="4" fillId="0" borderId="68" xfId="7" applyNumberFormat="1" applyFont="1" applyFill="1" applyBorder="1" applyAlignment="1">
      <alignment horizontal="right" vertical="top"/>
    </xf>
    <xf numFmtId="165" fontId="4" fillId="0" borderId="70" xfId="7" applyNumberFormat="1" applyFont="1" applyFill="1" applyBorder="1" applyAlignment="1">
      <alignment horizontal="right" vertical="top"/>
    </xf>
    <xf numFmtId="49" fontId="5" fillId="0" borderId="85" xfId="7" applyNumberFormat="1" applyFont="1" applyFill="1" applyBorder="1" applyAlignment="1">
      <alignment horizontal="left" vertical="center"/>
    </xf>
    <xf numFmtId="165" fontId="5" fillId="0" borderId="52" xfId="7" applyNumberFormat="1" applyFont="1" applyFill="1" applyBorder="1" applyAlignment="1">
      <alignment horizontal="right" vertical="center"/>
    </xf>
    <xf numFmtId="165" fontId="4" fillId="0" borderId="90" xfId="7" applyNumberFormat="1" applyFont="1" applyFill="1" applyBorder="1" applyAlignment="1">
      <alignment horizontal="right" vertical="top"/>
    </xf>
    <xf numFmtId="49" fontId="5" fillId="0" borderId="0" xfId="7" applyNumberFormat="1" applyFont="1" applyFill="1" applyBorder="1" applyAlignment="1">
      <alignment horizontal="center" vertical="center"/>
    </xf>
    <xf numFmtId="165" fontId="4" fillId="0" borderId="29" xfId="7" applyNumberFormat="1" applyFont="1" applyFill="1" applyBorder="1" applyAlignment="1">
      <alignment horizontal="right" vertical="top"/>
    </xf>
    <xf numFmtId="165" fontId="4" fillId="0" borderId="69" xfId="7" applyNumberFormat="1" applyFont="1" applyFill="1" applyBorder="1" applyAlignment="1">
      <alignment horizontal="right" vertical="top"/>
    </xf>
    <xf numFmtId="165" fontId="4" fillId="0" borderId="60" xfId="7" applyNumberFormat="1" applyFont="1" applyFill="1" applyBorder="1" applyAlignment="1">
      <alignment horizontal="right" vertical="top"/>
    </xf>
    <xf numFmtId="165" fontId="4" fillId="0" borderId="85" xfId="7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vertical="center" wrapText="1"/>
    </xf>
    <xf numFmtId="165" fontId="4" fillId="0" borderId="71" xfId="7" applyNumberFormat="1" applyFont="1" applyFill="1" applyBorder="1" applyAlignment="1">
      <alignment horizontal="right" vertical="top"/>
    </xf>
    <xf numFmtId="49" fontId="5" fillId="0" borderId="86" xfId="7" applyNumberFormat="1" applyFont="1" applyFill="1" applyBorder="1" applyAlignment="1">
      <alignment horizontal="center" vertical="center"/>
    </xf>
    <xf numFmtId="1" fontId="5" fillId="0" borderId="13" xfId="7" applyNumberFormat="1" applyFont="1" applyFill="1" applyBorder="1" applyAlignment="1">
      <alignment vertical="center"/>
    </xf>
    <xf numFmtId="49" fontId="5" fillId="0" borderId="16" xfId="7" applyNumberFormat="1" applyFont="1" applyFill="1" applyBorder="1" applyAlignment="1">
      <alignment horizontal="center" vertical="center"/>
    </xf>
    <xf numFmtId="1" fontId="5" fillId="0" borderId="57" xfId="7" applyNumberFormat="1" applyFont="1" applyFill="1" applyBorder="1" applyAlignment="1">
      <alignment horizontal="left" vertical="center" wrapText="1"/>
    </xf>
    <xf numFmtId="165" fontId="4" fillId="0" borderId="13" xfId="7" applyNumberFormat="1" applyFont="1" applyFill="1" applyBorder="1" applyAlignment="1">
      <alignment horizontal="right" vertical="top"/>
    </xf>
    <xf numFmtId="165" fontId="4" fillId="0" borderId="41" xfId="7" applyNumberFormat="1" applyFont="1" applyFill="1" applyBorder="1" applyAlignment="1"/>
    <xf numFmtId="165" fontId="4" fillId="0" borderId="34" xfId="7" applyNumberFormat="1" applyFont="1" applyFill="1" applyBorder="1" applyAlignment="1"/>
    <xf numFmtId="165" fontId="4" fillId="0" borderId="85" xfId="7" applyNumberFormat="1" applyFont="1" applyFill="1" applyBorder="1" applyAlignment="1">
      <alignment horizontal="right"/>
    </xf>
    <xf numFmtId="165" fontId="22" fillId="0" borderId="66" xfId="7" applyNumberFormat="1" applyFont="1" applyFill="1" applyBorder="1" applyAlignment="1">
      <alignment horizontal="right" vertical="top"/>
    </xf>
    <xf numFmtId="165" fontId="22" fillId="0" borderId="22" xfId="7" applyNumberFormat="1" applyFont="1" applyFill="1" applyBorder="1" applyAlignment="1">
      <alignment horizontal="right" vertical="top"/>
    </xf>
    <xf numFmtId="165" fontId="4" fillId="0" borderId="68" xfId="7" applyNumberFormat="1" applyFont="1" applyFill="1" applyBorder="1" applyAlignment="1">
      <alignment vertical="top"/>
    </xf>
    <xf numFmtId="165" fontId="4" fillId="0" borderId="70" xfId="7" applyNumberFormat="1" applyFont="1" applyFill="1" applyBorder="1" applyAlignment="1">
      <alignment vertical="top"/>
    </xf>
    <xf numFmtId="49" fontId="5" fillId="0" borderId="86" xfId="7" applyNumberFormat="1" applyFont="1" applyFill="1" applyBorder="1" applyAlignment="1">
      <alignment horizontal="left" vertical="center"/>
    </xf>
    <xf numFmtId="49" fontId="5" fillId="0" borderId="53" xfId="7" applyNumberFormat="1" applyFont="1" applyFill="1" applyBorder="1" applyAlignment="1">
      <alignment horizontal="left" vertical="center"/>
    </xf>
    <xf numFmtId="1" fontId="5" fillId="0" borderId="23" xfId="7" applyNumberFormat="1" applyFont="1" applyFill="1" applyBorder="1" applyAlignment="1">
      <alignment horizontal="center" vertical="center"/>
    </xf>
    <xf numFmtId="165" fontId="4" fillId="0" borderId="90" xfId="7" applyNumberFormat="1" applyFont="1" applyFill="1" applyBorder="1" applyAlignment="1">
      <alignment vertical="top"/>
    </xf>
    <xf numFmtId="165" fontId="4" fillId="0" borderId="52" xfId="7" applyNumberFormat="1" applyFont="1" applyFill="1" applyBorder="1" applyAlignment="1">
      <alignment vertical="top"/>
    </xf>
    <xf numFmtId="165" fontId="5" fillId="0" borderId="57" xfId="0" applyNumberFormat="1" applyFont="1" applyFill="1" applyBorder="1" applyAlignment="1">
      <alignment horizontal="right" vertical="center"/>
    </xf>
    <xf numFmtId="3" fontId="5" fillId="0" borderId="57" xfId="1" applyNumberFormat="1" applyFont="1" applyFill="1" applyBorder="1" applyAlignment="1">
      <alignment horizontal="center" vertical="center"/>
    </xf>
    <xf numFmtId="3" fontId="5" fillId="0" borderId="58" xfId="1" applyNumberFormat="1" applyFont="1" applyFill="1" applyBorder="1" applyAlignment="1">
      <alignment horizontal="center" vertical="center"/>
    </xf>
    <xf numFmtId="0" fontId="5" fillId="0" borderId="2" xfId="7" applyNumberFormat="1" applyFont="1" applyFill="1" applyBorder="1" applyAlignment="1">
      <alignment horizontal="right" vertical="center"/>
    </xf>
    <xf numFmtId="0" fontId="5" fillId="0" borderId="24" xfId="7" applyNumberFormat="1" applyFont="1" applyFill="1" applyBorder="1" applyAlignment="1">
      <alignment horizontal="right" vertical="center"/>
    </xf>
    <xf numFmtId="165" fontId="22" fillId="0" borderId="68" xfId="7" applyNumberFormat="1" applyFont="1" applyFill="1" applyBorder="1" applyAlignment="1">
      <alignment vertical="top"/>
    </xf>
    <xf numFmtId="165" fontId="22" fillId="0" borderId="70" xfId="7" applyNumberFormat="1" applyFont="1" applyFill="1" applyBorder="1" applyAlignment="1">
      <alignment vertical="top"/>
    </xf>
    <xf numFmtId="0" fontId="25" fillId="0" borderId="2" xfId="0" applyFont="1" applyFill="1" applyBorder="1" applyAlignment="1">
      <alignment vertical="center" wrapText="1"/>
    </xf>
    <xf numFmtId="0" fontId="25" fillId="0" borderId="24" xfId="0" applyFont="1" applyFill="1" applyBorder="1" applyAlignment="1">
      <alignment vertical="center" wrapText="1"/>
    </xf>
    <xf numFmtId="49" fontId="5" fillId="0" borderId="95" xfId="7" applyNumberFormat="1" applyFont="1" applyFill="1" applyBorder="1" applyAlignment="1">
      <alignment horizontal="center" vertical="center"/>
    </xf>
    <xf numFmtId="49" fontId="5" fillId="0" borderId="1" xfId="7" applyNumberFormat="1" applyFont="1" applyFill="1" applyBorder="1" applyAlignment="1">
      <alignment horizontal="center" vertical="center"/>
    </xf>
    <xf numFmtId="165" fontId="22" fillId="0" borderId="90" xfId="7" applyNumberFormat="1" applyFont="1" applyFill="1" applyBorder="1" applyAlignment="1">
      <alignment vertical="top"/>
    </xf>
    <xf numFmtId="165" fontId="22" fillId="0" borderId="52" xfId="7" applyNumberFormat="1" applyFont="1" applyFill="1" applyBorder="1" applyAlignment="1">
      <alignment vertical="top"/>
    </xf>
    <xf numFmtId="165" fontId="4" fillId="0" borderId="45" xfId="7" applyNumberFormat="1" applyFont="1" applyFill="1" applyBorder="1" applyAlignment="1">
      <alignment vertical="top"/>
    </xf>
    <xf numFmtId="165" fontId="22" fillId="0" borderId="45" xfId="7" applyNumberFormat="1" applyFont="1" applyFill="1" applyBorder="1" applyAlignment="1">
      <alignment vertical="top"/>
    </xf>
    <xf numFmtId="165" fontId="5" fillId="0" borderId="52" xfId="7" applyNumberFormat="1" applyFont="1" applyFill="1" applyBorder="1" applyAlignment="1">
      <alignment horizontal="left" vertical="center" wrapText="1"/>
    </xf>
    <xf numFmtId="0" fontId="31" fillId="0" borderId="75" xfId="3" applyFont="1" applyFill="1" applyBorder="1" applyAlignment="1">
      <alignment horizontal="right" vertical="top"/>
    </xf>
    <xf numFmtId="165" fontId="29" fillId="0" borderId="66" xfId="7" applyNumberFormat="1" applyFont="1" applyFill="1" applyBorder="1" applyAlignment="1">
      <alignment horizontal="right" vertical="top"/>
    </xf>
    <xf numFmtId="165" fontId="29" fillId="0" borderId="22" xfId="7" applyNumberFormat="1" applyFont="1" applyFill="1" applyBorder="1" applyAlignment="1">
      <alignment horizontal="right" vertical="top"/>
    </xf>
    <xf numFmtId="49" fontId="5" fillId="0" borderId="12" xfId="7" applyNumberFormat="1" applyFont="1" applyFill="1" applyBorder="1" applyAlignment="1">
      <alignment horizontal="left" vertical="center"/>
    </xf>
    <xf numFmtId="49" fontId="5" fillId="0" borderId="29" xfId="7" applyNumberFormat="1" applyFont="1" applyFill="1" applyBorder="1" applyAlignment="1">
      <alignment vertical="center"/>
    </xf>
    <xf numFmtId="165" fontId="4" fillId="0" borderId="40" xfId="7" applyNumberFormat="1" applyFont="1" applyFill="1" applyBorder="1" applyAlignment="1">
      <alignment vertical="top"/>
    </xf>
    <xf numFmtId="165" fontId="4" fillId="0" borderId="54" xfId="7" applyNumberFormat="1" applyFont="1" applyFill="1" applyBorder="1" applyAlignment="1">
      <alignment vertical="top"/>
    </xf>
    <xf numFmtId="165" fontId="4" fillId="0" borderId="76" xfId="7" applyNumberFormat="1" applyFont="1" applyFill="1" applyBorder="1" applyAlignment="1">
      <alignment vertical="top"/>
    </xf>
    <xf numFmtId="165" fontId="4" fillId="0" borderId="61" xfId="7" applyNumberFormat="1" applyFont="1" applyFill="1" applyBorder="1" applyAlignment="1">
      <alignment vertical="top"/>
    </xf>
    <xf numFmtId="165" fontId="4" fillId="0" borderId="90" xfId="0" applyNumberFormat="1" applyFont="1" applyFill="1" applyBorder="1" applyAlignment="1">
      <alignment vertical="top"/>
    </xf>
    <xf numFmtId="165" fontId="4" fillId="0" borderId="72" xfId="7" applyNumberFormat="1" applyFont="1" applyFill="1" applyBorder="1" applyAlignment="1">
      <alignment vertical="top"/>
    </xf>
    <xf numFmtId="165" fontId="4" fillId="0" borderId="77" xfId="7" applyNumberFormat="1" applyFont="1" applyFill="1" applyBorder="1" applyAlignment="1">
      <alignment vertical="top"/>
    </xf>
    <xf numFmtId="165" fontId="4" fillId="0" borderId="1" xfId="7" applyNumberFormat="1" applyFont="1" applyFill="1" applyBorder="1" applyAlignment="1">
      <alignment vertical="top"/>
    </xf>
    <xf numFmtId="165" fontId="4" fillId="0" borderId="52" xfId="0" applyNumberFormat="1" applyFont="1" applyFill="1" applyBorder="1" applyAlignment="1">
      <alignment vertical="top"/>
    </xf>
    <xf numFmtId="49" fontId="5" fillId="0" borderId="60" xfId="7" applyNumberFormat="1" applyFont="1" applyFill="1" applyBorder="1" applyAlignment="1">
      <alignment vertical="center"/>
    </xf>
    <xf numFmtId="49" fontId="5" fillId="0" borderId="26" xfId="7" applyNumberFormat="1" applyFont="1" applyFill="1" applyBorder="1" applyAlignment="1">
      <alignment vertical="center"/>
    </xf>
    <xf numFmtId="1" fontId="5" fillId="0" borderId="22" xfId="7" applyNumberFormat="1" applyFont="1" applyFill="1" applyBorder="1" applyAlignment="1">
      <alignment vertical="center" wrapText="1"/>
    </xf>
    <xf numFmtId="165" fontId="4" fillId="0" borderId="17" xfId="0" applyNumberFormat="1" applyFont="1" applyFill="1" applyBorder="1" applyAlignment="1">
      <alignment vertical="top"/>
    </xf>
    <xf numFmtId="165" fontId="4" fillId="0" borderId="66" xfId="7" applyNumberFormat="1" applyFont="1" applyFill="1" applyBorder="1" applyAlignment="1">
      <alignment vertical="top"/>
    </xf>
    <xf numFmtId="165" fontId="4" fillId="0" borderId="22" xfId="7" applyNumberFormat="1" applyFont="1" applyFill="1" applyBorder="1" applyAlignment="1">
      <alignment vertical="top"/>
    </xf>
    <xf numFmtId="0" fontId="5" fillId="0" borderId="24" xfId="0" applyFont="1" applyFill="1" applyBorder="1" applyAlignment="1">
      <alignment vertical="center"/>
    </xf>
    <xf numFmtId="165" fontId="4" fillId="0" borderId="43" xfId="7" applyNumberFormat="1" applyFont="1" applyFill="1" applyBorder="1" applyAlignment="1">
      <alignment vertical="top"/>
    </xf>
    <xf numFmtId="165" fontId="4" fillId="0" borderId="59" xfId="7" applyNumberFormat="1" applyFont="1" applyFill="1" applyBorder="1" applyAlignment="1">
      <alignment vertical="top"/>
    </xf>
    <xf numFmtId="165" fontId="4" fillId="0" borderId="96" xfId="7" applyNumberFormat="1" applyFont="1" applyFill="1" applyBorder="1" applyAlignment="1">
      <alignment vertical="top"/>
    </xf>
    <xf numFmtId="165" fontId="4" fillId="0" borderId="34" xfId="7" applyNumberFormat="1" applyFont="1" applyFill="1" applyBorder="1" applyAlignment="1">
      <alignment vertical="top"/>
    </xf>
    <xf numFmtId="49" fontId="5" fillId="0" borderId="2" xfId="7" applyNumberFormat="1" applyFont="1" applyFill="1" applyBorder="1" applyAlignment="1">
      <alignment horizontal="left" vertical="center"/>
    </xf>
    <xf numFmtId="49" fontId="5" fillId="0" borderId="52" xfId="7" applyNumberFormat="1" applyFont="1" applyFill="1" applyBorder="1" applyAlignment="1">
      <alignment horizontal="left" vertical="center" wrapText="1"/>
    </xf>
    <xf numFmtId="1" fontId="5" fillId="0" borderId="52" xfId="7" applyNumberFormat="1" applyFont="1" applyFill="1" applyBorder="1" applyAlignment="1">
      <alignment horizontal="center" vertical="center"/>
    </xf>
    <xf numFmtId="165" fontId="4" fillId="0" borderId="69" xfId="7" applyNumberFormat="1" applyFont="1" applyFill="1" applyBorder="1" applyAlignment="1">
      <alignment vertical="top"/>
    </xf>
    <xf numFmtId="165" fontId="4" fillId="0" borderId="60" xfId="7" applyNumberFormat="1" applyFont="1" applyFill="1" applyBorder="1" applyAlignment="1">
      <alignment vertical="top"/>
    </xf>
    <xf numFmtId="1" fontId="5" fillId="0" borderId="72" xfId="7" applyNumberFormat="1" applyFont="1" applyFill="1" applyBorder="1"/>
    <xf numFmtId="165" fontId="5" fillId="0" borderId="52" xfId="7" applyNumberFormat="1" applyFont="1" applyFill="1" applyBorder="1" applyAlignment="1">
      <alignment vertical="center"/>
    </xf>
    <xf numFmtId="49" fontId="5" fillId="0" borderId="40" xfId="7" applyNumberFormat="1" applyFont="1" applyFill="1" applyBorder="1" applyAlignment="1">
      <alignment vertical="center" textRotation="90" wrapText="1"/>
    </xf>
    <xf numFmtId="1" fontId="4" fillId="0" borderId="54" xfId="7" applyNumberFormat="1" applyFont="1" applyFill="1" applyBorder="1" applyAlignment="1">
      <alignment vertical="top"/>
    </xf>
    <xf numFmtId="0" fontId="5" fillId="0" borderId="57" xfId="0" applyNumberFormat="1" applyFont="1" applyFill="1" applyBorder="1" applyAlignment="1">
      <alignment horizontal="left" vertical="center"/>
    </xf>
    <xf numFmtId="0" fontId="6" fillId="0" borderId="40" xfId="0" applyFont="1" applyFill="1" applyBorder="1" applyAlignment="1">
      <alignment vertical="top" textRotation="90" wrapText="1"/>
    </xf>
    <xf numFmtId="0" fontId="5" fillId="0" borderId="12" xfId="0" applyFont="1" applyFill="1" applyBorder="1" applyAlignment="1">
      <alignment vertical="center"/>
    </xf>
    <xf numFmtId="165" fontId="4" fillId="0" borderId="29" xfId="7" applyNumberFormat="1" applyFont="1" applyFill="1" applyBorder="1" applyAlignment="1">
      <alignment vertical="top"/>
    </xf>
    <xf numFmtId="165" fontId="4" fillId="0" borderId="29" xfId="7" applyNumberFormat="1" applyFont="1" applyFill="1" applyBorder="1" applyAlignment="1"/>
    <xf numFmtId="0" fontId="18" fillId="0" borderId="12" xfId="3" applyFont="1" applyFill="1" applyBorder="1" applyAlignment="1">
      <alignment horizontal="right" vertical="center" textRotation="90"/>
    </xf>
    <xf numFmtId="0" fontId="18" fillId="0" borderId="56" xfId="3" applyFont="1" applyFill="1" applyBorder="1" applyAlignment="1">
      <alignment horizontal="right" vertical="center" textRotation="90"/>
    </xf>
    <xf numFmtId="165" fontId="15" fillId="0" borderId="60" xfId="7" applyNumberFormat="1" applyFont="1" applyFill="1" applyBorder="1" applyAlignment="1">
      <alignment vertical="center"/>
    </xf>
    <xf numFmtId="0" fontId="5" fillId="0" borderId="24" xfId="0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vertical="center" wrapText="1"/>
    </xf>
    <xf numFmtId="49" fontId="5" fillId="0" borderId="63" xfId="0" applyNumberFormat="1" applyFont="1" applyFill="1" applyBorder="1" applyAlignment="1">
      <alignment vertical="center" wrapText="1"/>
    </xf>
    <xf numFmtId="1" fontId="5" fillId="0" borderId="2" xfId="7" applyNumberFormat="1" applyFont="1" applyFill="1" applyBorder="1" applyAlignment="1">
      <alignment horizontal="right" vertical="center" shrinkToFit="1"/>
    </xf>
    <xf numFmtId="1" fontId="5" fillId="0" borderId="60" xfId="7" applyNumberFormat="1" applyFont="1" applyFill="1" applyBorder="1" applyAlignment="1">
      <alignment horizontal="right" vertical="center" shrinkToFit="1"/>
    </xf>
    <xf numFmtId="0" fontId="9" fillId="0" borderId="36" xfId="8" applyFont="1" applyFill="1" applyBorder="1" applyAlignment="1">
      <alignment vertical="top"/>
    </xf>
    <xf numFmtId="49" fontId="5" fillId="0" borderId="0" xfId="7" applyNumberFormat="1" applyFont="1" applyFill="1" applyBorder="1" applyAlignment="1">
      <alignment horizontal="left" vertical="center"/>
    </xf>
    <xf numFmtId="0" fontId="5" fillId="0" borderId="2" xfId="7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0" fontId="5" fillId="0" borderId="22" xfId="0" applyFont="1" applyFill="1" applyBorder="1" applyAlignment="1">
      <alignment vertical="center"/>
    </xf>
    <xf numFmtId="165" fontId="15" fillId="0" borderId="60" xfId="7" applyNumberFormat="1" applyFont="1" applyFill="1" applyBorder="1" applyAlignment="1">
      <alignment horizontal="right" vertical="center"/>
    </xf>
    <xf numFmtId="49" fontId="5" fillId="0" borderId="15" xfId="7" applyNumberFormat="1" applyFont="1" applyFill="1" applyBorder="1" applyAlignment="1">
      <alignment horizontal="left" vertical="center"/>
    </xf>
    <xf numFmtId="49" fontId="5" fillId="0" borderId="15" xfId="7" applyNumberFormat="1" applyFont="1" applyFill="1" applyBorder="1" applyAlignment="1">
      <alignment horizontal="center" vertical="center"/>
    </xf>
    <xf numFmtId="49" fontId="5" fillId="0" borderId="71" xfId="7" applyNumberFormat="1" applyFont="1" applyFill="1" applyBorder="1" applyAlignment="1">
      <alignment horizontal="center" vertical="center"/>
    </xf>
    <xf numFmtId="49" fontId="5" fillId="0" borderId="71" xfId="0" applyNumberFormat="1" applyFont="1" applyFill="1" applyBorder="1" applyAlignment="1">
      <alignment vertical="center"/>
    </xf>
    <xf numFmtId="0" fontId="5" fillId="0" borderId="38" xfId="0" applyFont="1" applyFill="1" applyBorder="1" applyAlignment="1">
      <alignment horizontal="center" vertical="center"/>
    </xf>
    <xf numFmtId="165" fontId="5" fillId="0" borderId="24" xfId="0" applyNumberFormat="1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vertical="center"/>
    </xf>
    <xf numFmtId="1" fontId="5" fillId="0" borderId="0" xfId="8" applyNumberFormat="1" applyFont="1" applyFill="1" applyBorder="1"/>
    <xf numFmtId="0" fontId="12" fillId="0" borderId="0" xfId="8" applyFont="1" applyFill="1" applyBorder="1"/>
    <xf numFmtId="165" fontId="12" fillId="0" borderId="0" xfId="8" applyNumberFormat="1" applyFont="1" applyFill="1" applyBorder="1"/>
    <xf numFmtId="49" fontId="5" fillId="0" borderId="103" xfId="7" applyNumberFormat="1" applyFont="1" applyFill="1" applyBorder="1" applyAlignment="1">
      <alignment horizontal="center"/>
    </xf>
    <xf numFmtId="49" fontId="5" fillId="0" borderId="104" xfId="7" applyNumberFormat="1" applyFont="1" applyFill="1" applyBorder="1" applyAlignment="1">
      <alignment horizontal="center"/>
    </xf>
    <xf numFmtId="165" fontId="4" fillId="0" borderId="0" xfId="8" applyNumberFormat="1" applyFont="1" applyFill="1"/>
    <xf numFmtId="1" fontId="5" fillId="0" borderId="0" xfId="8" applyNumberFormat="1" applyFont="1" applyFill="1" applyBorder="1" applyAlignment="1">
      <alignment horizontal="center"/>
    </xf>
    <xf numFmtId="165" fontId="29" fillId="0" borderId="41" xfId="7" applyNumberFormat="1" applyFont="1" applyFill="1" applyBorder="1" applyAlignment="1">
      <alignment vertical="top"/>
    </xf>
    <xf numFmtId="1" fontId="5" fillId="0" borderId="0" xfId="8" applyNumberFormat="1" applyFont="1" applyFill="1" applyBorder="1" applyAlignment="1">
      <alignment horizontal="right"/>
    </xf>
    <xf numFmtId="1" fontId="5" fillId="0" borderId="60" xfId="7" applyNumberFormat="1" applyFont="1" applyFill="1" applyBorder="1" applyAlignment="1">
      <alignment vertical="center"/>
    </xf>
    <xf numFmtId="49" fontId="5" fillId="0" borderId="41" xfId="7" applyNumberFormat="1" applyFont="1" applyFill="1" applyBorder="1" applyAlignment="1">
      <alignment horizontal="left" vertical="center"/>
    </xf>
    <xf numFmtId="165" fontId="22" fillId="0" borderId="68" xfId="7" applyNumberFormat="1" applyFont="1" applyFill="1" applyBorder="1" applyAlignment="1">
      <alignment horizontal="right" vertical="top"/>
    </xf>
    <xf numFmtId="165" fontId="22" fillId="0" borderId="70" xfId="7" applyNumberFormat="1" applyFont="1" applyFill="1" applyBorder="1" applyAlignment="1">
      <alignment horizontal="right" vertical="top"/>
    </xf>
    <xf numFmtId="165" fontId="22" fillId="0" borderId="78" xfId="7" applyNumberFormat="1" applyFont="1" applyFill="1" applyBorder="1" applyAlignment="1">
      <alignment horizontal="right" vertical="top"/>
    </xf>
    <xf numFmtId="1" fontId="5" fillId="0" borderId="90" xfId="7" applyNumberFormat="1" applyFont="1" applyFill="1" applyBorder="1" applyAlignment="1">
      <alignment wrapText="1"/>
    </xf>
    <xf numFmtId="165" fontId="22" fillId="0" borderId="86" xfId="7" applyNumberFormat="1" applyFont="1" applyFill="1" applyBorder="1" applyAlignment="1">
      <alignment horizontal="right"/>
    </xf>
    <xf numFmtId="1" fontId="5" fillId="0" borderId="60" xfId="7" applyNumberFormat="1" applyFont="1" applyFill="1" applyBorder="1" applyAlignment="1">
      <alignment horizontal="left" vertical="center" wrapText="1"/>
    </xf>
    <xf numFmtId="1" fontId="4" fillId="0" borderId="79" xfId="7" applyNumberFormat="1" applyFont="1" applyFill="1" applyBorder="1"/>
    <xf numFmtId="0" fontId="18" fillId="0" borderId="0" xfId="3" applyFont="1" applyFill="1" applyAlignment="1">
      <alignment horizontal="center" vertical="top" wrapText="1"/>
    </xf>
    <xf numFmtId="49" fontId="5" fillId="0" borderId="57" xfId="7" applyNumberFormat="1" applyFont="1" applyFill="1" applyBorder="1" applyAlignment="1">
      <alignment horizontal="left" vertical="center" wrapText="1"/>
    </xf>
    <xf numFmtId="49" fontId="5" fillId="0" borderId="24" xfId="7" applyNumberFormat="1" applyFont="1" applyFill="1" applyBorder="1" applyAlignment="1">
      <alignment horizontal="left" vertical="center" wrapText="1"/>
    </xf>
    <xf numFmtId="49" fontId="5" fillId="0" borderId="57" xfId="7" applyNumberFormat="1" applyFont="1" applyFill="1" applyBorder="1" applyAlignment="1">
      <alignment horizontal="left" vertical="center"/>
    </xf>
    <xf numFmtId="49" fontId="5" fillId="0" borderId="24" xfId="7" applyNumberFormat="1" applyFont="1" applyFill="1" applyBorder="1" applyAlignment="1">
      <alignment horizontal="left" vertical="center"/>
    </xf>
    <xf numFmtId="49" fontId="5" fillId="0" borderId="70" xfId="7" applyNumberFormat="1" applyFont="1" applyFill="1" applyBorder="1" applyAlignment="1">
      <alignment horizontal="left" vertical="center"/>
    </xf>
    <xf numFmtId="49" fontId="5" fillId="0" borderId="60" xfId="7" applyNumberFormat="1" applyFont="1" applyFill="1" applyBorder="1" applyAlignment="1">
      <alignment horizontal="left" vertical="center"/>
    </xf>
    <xf numFmtId="1" fontId="5" fillId="0" borderId="60" xfId="7" applyNumberFormat="1" applyFont="1" applyFill="1" applyBorder="1" applyAlignment="1">
      <alignment horizontal="center" vertical="center"/>
    </xf>
    <xf numFmtId="1" fontId="5" fillId="0" borderId="79" xfId="7" applyNumberFormat="1" applyFont="1" applyFill="1" applyBorder="1" applyAlignment="1">
      <alignment horizontal="center" vertical="center"/>
    </xf>
    <xf numFmtId="49" fontId="5" fillId="0" borderId="70" xfId="7" applyNumberFormat="1" applyFont="1" applyFill="1" applyBorder="1" applyAlignment="1">
      <alignment horizontal="center" vertical="center"/>
    </xf>
    <xf numFmtId="1" fontId="5" fillId="0" borderId="70" xfId="7" applyNumberFormat="1" applyFont="1" applyFill="1" applyBorder="1" applyAlignment="1">
      <alignment horizontal="left" vertical="center" wrapText="1"/>
    </xf>
    <xf numFmtId="0" fontId="13" fillId="0" borderId="89" xfId="3" applyFont="1" applyFill="1" applyBorder="1" applyAlignment="1">
      <alignment horizontal="right" vertical="top"/>
    </xf>
    <xf numFmtId="49" fontId="5" fillId="0" borderId="57" xfId="7" applyNumberFormat="1" applyFont="1" applyFill="1" applyBorder="1" applyAlignment="1">
      <alignment horizontal="center" vertical="center"/>
    </xf>
    <xf numFmtId="49" fontId="5" fillId="0" borderId="70" xfId="0" applyNumberFormat="1" applyFont="1" applyFill="1" applyBorder="1" applyAlignment="1">
      <alignment vertical="center"/>
    </xf>
    <xf numFmtId="165" fontId="5" fillId="0" borderId="57" xfId="7" applyNumberFormat="1" applyFont="1" applyFill="1" applyBorder="1" applyAlignment="1">
      <alignment vertical="center"/>
    </xf>
    <xf numFmtId="49" fontId="5" fillId="0" borderId="57" xfId="0" applyNumberFormat="1" applyFont="1" applyFill="1" applyBorder="1" applyAlignment="1">
      <alignment vertical="center"/>
    </xf>
    <xf numFmtId="1" fontId="5" fillId="0" borderId="70" xfId="7" applyNumberFormat="1" applyFont="1" applyFill="1" applyBorder="1" applyAlignment="1">
      <alignment horizontal="right" vertical="center"/>
    </xf>
    <xf numFmtId="1" fontId="5" fillId="0" borderId="13" xfId="7" applyNumberFormat="1" applyFont="1" applyFill="1" applyBorder="1" applyAlignment="1">
      <alignment horizontal="right" vertical="center"/>
    </xf>
    <xf numFmtId="1" fontId="5" fillId="0" borderId="78" xfId="7" applyNumberFormat="1" applyFont="1" applyFill="1" applyBorder="1" applyAlignment="1">
      <alignment horizontal="right" vertical="center"/>
    </xf>
    <xf numFmtId="1" fontId="5" fillId="0" borderId="55" xfId="7" applyNumberFormat="1" applyFont="1" applyFill="1" applyBorder="1" applyAlignment="1">
      <alignment horizontal="right" vertical="center"/>
    </xf>
    <xf numFmtId="1" fontId="5" fillId="0" borderId="70" xfId="7" applyNumberFormat="1" applyFont="1" applyFill="1" applyBorder="1" applyAlignment="1">
      <alignment vertical="center" wrapText="1"/>
    </xf>
    <xf numFmtId="165" fontId="5" fillId="0" borderId="70" xfId="7" applyNumberFormat="1" applyFont="1" applyFill="1" applyBorder="1" applyAlignment="1">
      <alignment vertical="center"/>
    </xf>
    <xf numFmtId="165" fontId="5" fillId="0" borderId="12" xfId="7" applyNumberFormat="1" applyFont="1" applyFill="1" applyBorder="1" applyAlignment="1">
      <alignment vertical="center"/>
    </xf>
    <xf numFmtId="49" fontId="5" fillId="0" borderId="70" xfId="7" applyNumberFormat="1" applyFont="1" applyFill="1" applyBorder="1" applyAlignment="1">
      <alignment horizontal="left" vertical="center" wrapText="1"/>
    </xf>
    <xf numFmtId="49" fontId="5" fillId="0" borderId="60" xfId="7" applyNumberFormat="1" applyFont="1" applyFill="1" applyBorder="1" applyAlignment="1">
      <alignment horizontal="center" vertical="center"/>
    </xf>
    <xf numFmtId="1" fontId="5" fillId="0" borderId="60" xfId="7" applyNumberFormat="1" applyFont="1" applyFill="1" applyBorder="1" applyAlignment="1">
      <alignment vertical="center" wrapText="1"/>
    </xf>
    <xf numFmtId="165" fontId="5" fillId="0" borderId="57" xfId="7" applyNumberFormat="1" applyFont="1" applyFill="1" applyBorder="1" applyAlignment="1">
      <alignment vertical="center" wrapText="1"/>
    </xf>
    <xf numFmtId="1" fontId="5" fillId="0" borderId="57" xfId="7" applyNumberFormat="1" applyFont="1" applyFill="1" applyBorder="1" applyAlignment="1">
      <alignment vertical="center"/>
    </xf>
    <xf numFmtId="0" fontId="2" fillId="0" borderId="0" xfId="8" applyFont="1" applyFill="1" applyAlignment="1">
      <alignment horizontal="left" vertical="top" wrapText="1"/>
    </xf>
    <xf numFmtId="49" fontId="5" fillId="0" borderId="13" xfId="7" applyNumberFormat="1" applyFont="1" applyFill="1" applyBorder="1" applyAlignment="1">
      <alignment horizontal="center" vertical="center"/>
    </xf>
    <xf numFmtId="49" fontId="5" fillId="0" borderId="2" xfId="7" applyNumberFormat="1" applyFont="1" applyFill="1" applyBorder="1" applyAlignment="1">
      <alignment horizontal="left" vertical="center" wrapText="1"/>
    </xf>
    <xf numFmtId="165" fontId="5" fillId="0" borderId="57" xfId="7" applyNumberFormat="1" applyFont="1" applyFill="1" applyBorder="1" applyAlignment="1">
      <alignment horizontal="right" vertical="center"/>
    </xf>
    <xf numFmtId="165" fontId="5" fillId="0" borderId="24" xfId="0" applyNumberFormat="1" applyFont="1" applyFill="1" applyBorder="1" applyAlignment="1">
      <alignment horizontal="right" vertical="center"/>
    </xf>
    <xf numFmtId="49" fontId="5" fillId="0" borderId="13" xfId="7" applyNumberFormat="1" applyFont="1" applyFill="1" applyBorder="1" applyAlignment="1">
      <alignment horizontal="left" vertical="center" wrapText="1"/>
    </xf>
    <xf numFmtId="165" fontId="5" fillId="0" borderId="13" xfId="7" applyNumberFormat="1" applyFont="1" applyFill="1" applyBorder="1" applyAlignment="1">
      <alignment vertical="center"/>
    </xf>
    <xf numFmtId="165" fontId="5" fillId="0" borderId="12" xfId="7" applyNumberFormat="1" applyFont="1" applyFill="1" applyBorder="1" applyAlignment="1">
      <alignment horizontal="right" vertical="center"/>
    </xf>
    <xf numFmtId="165" fontId="5" fillId="0" borderId="60" xfId="7" applyNumberFormat="1" applyFont="1" applyFill="1" applyBorder="1" applyAlignment="1">
      <alignment horizontal="right" vertical="center"/>
    </xf>
    <xf numFmtId="165" fontId="5" fillId="0" borderId="70" xfId="7" applyNumberFormat="1" applyFont="1" applyFill="1" applyBorder="1" applyAlignment="1">
      <alignment horizontal="right" vertical="center"/>
    </xf>
    <xf numFmtId="0" fontId="5" fillId="0" borderId="60" xfId="0" applyFont="1" applyFill="1" applyBorder="1" applyAlignment="1">
      <alignment horizontal="right" vertical="center"/>
    </xf>
    <xf numFmtId="1" fontId="5" fillId="0" borderId="12" xfId="7" applyNumberFormat="1" applyFont="1" applyFill="1" applyBorder="1" applyAlignment="1">
      <alignment horizontal="center" vertical="center"/>
    </xf>
    <xf numFmtId="165" fontId="5" fillId="0" borderId="70" xfId="7" applyNumberFormat="1" applyFont="1" applyFill="1" applyBorder="1" applyAlignment="1">
      <alignment horizontal="center" vertical="center"/>
    </xf>
    <xf numFmtId="1" fontId="5" fillId="0" borderId="12" xfId="7" applyNumberFormat="1" applyFont="1" applyFill="1" applyBorder="1" applyAlignment="1">
      <alignment vertical="center"/>
    </xf>
    <xf numFmtId="1" fontId="5" fillId="0" borderId="56" xfId="7" applyNumberFormat="1" applyFont="1" applyFill="1" applyBorder="1" applyAlignment="1">
      <alignment horizontal="center" vertical="center"/>
    </xf>
    <xf numFmtId="165" fontId="5" fillId="0" borderId="2" xfId="7" applyNumberFormat="1" applyFont="1" applyFill="1" applyBorder="1" applyAlignment="1">
      <alignment vertical="center"/>
    </xf>
    <xf numFmtId="1" fontId="5" fillId="0" borderId="12" xfId="7" applyNumberFormat="1" applyFont="1" applyFill="1" applyBorder="1" applyAlignment="1">
      <alignment vertical="center" wrapText="1"/>
    </xf>
    <xf numFmtId="0" fontId="5" fillId="0" borderId="24" xfId="0" applyFont="1" applyFill="1" applyBorder="1" applyAlignment="1">
      <alignment horizontal="center" vertical="center"/>
    </xf>
    <xf numFmtId="165" fontId="5" fillId="0" borderId="60" xfId="7" applyNumberFormat="1" applyFont="1" applyFill="1" applyBorder="1" applyAlignment="1">
      <alignment vertical="center"/>
    </xf>
    <xf numFmtId="165" fontId="5" fillId="0" borderId="13" xfId="7" applyNumberFormat="1" applyFont="1" applyFill="1" applyBorder="1" applyAlignment="1">
      <alignment horizontal="right" vertical="center"/>
    </xf>
    <xf numFmtId="49" fontId="5" fillId="0" borderId="13" xfId="0" applyNumberFormat="1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right" vertical="center"/>
    </xf>
    <xf numFmtId="165" fontId="5" fillId="0" borderId="12" xfId="0" applyNumberFormat="1" applyFont="1" applyFill="1" applyBorder="1" applyAlignment="1">
      <alignment horizontal="right" vertical="center"/>
    </xf>
    <xf numFmtId="1" fontId="5" fillId="0" borderId="79" xfId="7" applyNumberFormat="1" applyFont="1" applyFill="1" applyBorder="1"/>
    <xf numFmtId="1" fontId="5" fillId="0" borderId="60" xfId="7" applyNumberFormat="1" applyFont="1" applyFill="1" applyBorder="1" applyAlignment="1">
      <alignment horizontal="right" vertical="center"/>
    </xf>
    <xf numFmtId="1" fontId="5" fillId="0" borderId="79" xfId="7" applyNumberFormat="1" applyFont="1" applyFill="1" applyBorder="1" applyAlignment="1">
      <alignment horizontal="right" vertical="center"/>
    </xf>
    <xf numFmtId="1" fontId="4" fillId="0" borderId="52" xfId="7" applyNumberFormat="1" applyFont="1" applyFill="1" applyBorder="1" applyAlignment="1">
      <alignment horizontal="right" vertical="top"/>
    </xf>
    <xf numFmtId="1" fontId="4" fillId="0" borderId="45" xfId="7" applyNumberFormat="1" applyFont="1" applyFill="1" applyBorder="1" applyAlignment="1">
      <alignment horizontal="right" vertical="top"/>
    </xf>
    <xf numFmtId="0" fontId="2" fillId="0" borderId="60" xfId="8" applyFont="1" applyFill="1" applyBorder="1" applyAlignment="1">
      <alignment horizontal="right"/>
    </xf>
    <xf numFmtId="0" fontId="2" fillId="0" borderId="79" xfId="8" applyFont="1" applyFill="1" applyBorder="1" applyAlignment="1">
      <alignment horizontal="right"/>
    </xf>
    <xf numFmtId="49" fontId="5" fillId="0" borderId="24" xfId="7" applyNumberFormat="1" applyFont="1" applyFill="1" applyBorder="1" applyAlignment="1">
      <alignment horizontal="center" vertical="center"/>
    </xf>
    <xf numFmtId="165" fontId="5" fillId="0" borderId="24" xfId="7" applyNumberFormat="1" applyFont="1" applyFill="1" applyBorder="1" applyAlignment="1">
      <alignment horizontal="right" vertical="center"/>
    </xf>
    <xf numFmtId="1" fontId="5" fillId="0" borderId="57" xfId="7" applyNumberFormat="1" applyFont="1" applyFill="1" applyBorder="1" applyAlignment="1">
      <alignment horizontal="right" vertical="center" wrapText="1"/>
    </xf>
    <xf numFmtId="1" fontId="5" fillId="0" borderId="58" xfId="7" applyNumberFormat="1" applyFont="1" applyFill="1" applyBorder="1" applyAlignment="1">
      <alignment horizontal="right" vertical="center" wrapText="1"/>
    </xf>
    <xf numFmtId="49" fontId="5" fillId="0" borderId="2" xfId="7" applyNumberFormat="1" applyFont="1" applyFill="1" applyBorder="1" applyAlignment="1">
      <alignment horizontal="center" vertical="center"/>
    </xf>
    <xf numFmtId="1" fontId="5" fillId="0" borderId="58" xfId="7" applyNumberFormat="1" applyFont="1" applyFill="1" applyBorder="1" applyAlignment="1">
      <alignment vertical="center"/>
    </xf>
    <xf numFmtId="0" fontId="5" fillId="0" borderId="60" xfId="0" applyFont="1" applyFill="1" applyBorder="1" applyAlignment="1">
      <alignment vertical="center"/>
    </xf>
    <xf numFmtId="0" fontId="0" fillId="0" borderId="79" xfId="0" applyFill="1" applyBorder="1" applyAlignment="1">
      <alignment vertical="center"/>
    </xf>
    <xf numFmtId="1" fontId="5" fillId="0" borderId="12" xfId="7" applyNumberFormat="1" applyFont="1" applyFill="1" applyBorder="1" applyAlignment="1">
      <alignment horizontal="left" vertical="center" wrapText="1"/>
    </xf>
    <xf numFmtId="1" fontId="5" fillId="0" borderId="12" xfId="7" applyNumberFormat="1" applyFont="1" applyFill="1" applyBorder="1" applyAlignment="1">
      <alignment horizontal="right" vertical="center"/>
    </xf>
    <xf numFmtId="1" fontId="5" fillId="0" borderId="56" xfId="7" applyNumberFormat="1" applyFont="1" applyFill="1" applyBorder="1" applyAlignment="1">
      <alignment horizontal="right" vertical="center"/>
    </xf>
    <xf numFmtId="1" fontId="5" fillId="0" borderId="22" xfId="7" applyNumberFormat="1" applyFont="1" applyFill="1" applyBorder="1" applyAlignment="1">
      <alignment horizontal="right" vertical="center"/>
    </xf>
    <xf numFmtId="1" fontId="5" fillId="0" borderId="91" xfId="7" applyNumberFormat="1" applyFont="1" applyFill="1" applyBorder="1" applyAlignment="1">
      <alignment horizontal="right" vertical="center"/>
    </xf>
    <xf numFmtId="0" fontId="0" fillId="0" borderId="25" xfId="0" applyFill="1" applyBorder="1" applyAlignment="1">
      <alignment horizontal="right" vertical="center"/>
    </xf>
    <xf numFmtId="165" fontId="5" fillId="0" borderId="2" xfId="7" applyNumberFormat="1" applyFont="1" applyFill="1" applyBorder="1" applyAlignment="1">
      <alignment horizontal="right" vertical="center"/>
    </xf>
    <xf numFmtId="0" fontId="3" fillId="0" borderId="0" xfId="3" applyFont="1" applyFill="1" applyAlignment="1">
      <alignment horizontal="center" vertical="top" wrapText="1"/>
    </xf>
    <xf numFmtId="0" fontId="18" fillId="0" borderId="0" xfId="3" applyFont="1" applyFill="1" applyAlignment="1">
      <alignment vertical="top"/>
    </xf>
    <xf numFmtId="0" fontId="18" fillId="0" borderId="0" xfId="3" applyFont="1" applyFill="1" applyAlignment="1">
      <alignment horizontal="center" vertical="top"/>
    </xf>
    <xf numFmtId="49" fontId="5" fillId="0" borderId="63" xfId="0" applyNumberFormat="1" applyFont="1" applyFill="1" applyBorder="1" applyAlignment="1">
      <alignment horizontal="left" vertical="center" wrapText="1"/>
    </xf>
    <xf numFmtId="49" fontId="5" fillId="0" borderId="83" xfId="7" applyNumberFormat="1" applyFont="1" applyFill="1" applyBorder="1" applyAlignment="1">
      <alignment horizontal="center" vertical="center"/>
    </xf>
    <xf numFmtId="0" fontId="5" fillId="0" borderId="58" xfId="8" applyFont="1" applyFill="1" applyBorder="1" applyAlignment="1">
      <alignment vertical="center"/>
    </xf>
    <xf numFmtId="0" fontId="5" fillId="0" borderId="16" xfId="0" applyNumberFormat="1" applyFont="1" applyFill="1" applyBorder="1" applyAlignment="1">
      <alignment horizontal="left" vertical="center"/>
    </xf>
    <xf numFmtId="49" fontId="5" fillId="0" borderId="42" xfId="7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left" vertical="center"/>
    </xf>
    <xf numFmtId="165" fontId="5" fillId="0" borderId="16" xfId="7" applyNumberFormat="1" applyFont="1" applyFill="1" applyBorder="1" applyAlignment="1">
      <alignment horizontal="right" vertical="center"/>
    </xf>
    <xf numFmtId="49" fontId="5" fillId="0" borderId="14" xfId="0" applyNumberFormat="1" applyFont="1" applyFill="1" applyBorder="1" applyAlignment="1">
      <alignment horizontal="left" vertical="center"/>
    </xf>
    <xf numFmtId="165" fontId="5" fillId="0" borderId="47" xfId="7" applyNumberFormat="1" applyFont="1" applyFill="1" applyBorder="1" applyAlignment="1">
      <alignment horizontal="right" vertical="center"/>
    </xf>
    <xf numFmtId="165" fontId="5" fillId="0" borderId="10" xfId="7" applyNumberFormat="1" applyFont="1" applyFill="1" applyBorder="1" applyAlignment="1">
      <alignment horizontal="right" vertical="center"/>
    </xf>
    <xf numFmtId="165" fontId="5" fillId="0" borderId="3" xfId="7" applyNumberFormat="1" applyFont="1" applyFill="1" applyBorder="1" applyAlignment="1">
      <alignment horizontal="right" vertical="center"/>
    </xf>
    <xf numFmtId="1" fontId="29" fillId="0" borderId="70" xfId="7" applyNumberFormat="1" applyFont="1" applyFill="1" applyBorder="1" applyAlignment="1">
      <alignment horizontal="right" vertical="top"/>
    </xf>
    <xf numFmtId="1" fontId="29" fillId="0" borderId="78" xfId="7" applyNumberFormat="1" applyFont="1" applyFill="1" applyBorder="1" applyAlignment="1">
      <alignment horizontal="right" vertical="top"/>
    </xf>
    <xf numFmtId="49" fontId="5" fillId="0" borderId="52" xfId="0" applyNumberFormat="1" applyFont="1" applyFill="1" applyBorder="1" applyAlignment="1">
      <alignment horizontal="left" vertical="center"/>
    </xf>
    <xf numFmtId="1" fontId="5" fillId="0" borderId="52" xfId="7" applyNumberFormat="1" applyFont="1" applyFill="1" applyBorder="1" applyAlignment="1">
      <alignment horizontal="right" vertical="center"/>
    </xf>
    <xf numFmtId="1" fontId="5" fillId="0" borderId="45" xfId="7" applyNumberFormat="1" applyFont="1" applyFill="1" applyBorder="1" applyAlignment="1">
      <alignment horizontal="right" vertical="center"/>
    </xf>
    <xf numFmtId="1" fontId="4" fillId="0" borderId="22" xfId="7" applyNumberFormat="1" applyFont="1" applyFill="1" applyBorder="1" applyAlignment="1">
      <alignment horizontal="right" vertical="top"/>
    </xf>
    <xf numFmtId="1" fontId="4" fillId="0" borderId="91" xfId="7" applyNumberFormat="1" applyFont="1" applyFill="1" applyBorder="1" applyAlignment="1">
      <alignment horizontal="right" vertical="top"/>
    </xf>
    <xf numFmtId="0" fontId="5" fillId="0" borderId="52" xfId="0" applyFont="1" applyFill="1" applyBorder="1" applyAlignment="1">
      <alignment vertical="center"/>
    </xf>
    <xf numFmtId="0" fontId="5" fillId="0" borderId="52" xfId="0" applyFont="1" applyFill="1" applyBorder="1" applyAlignment="1">
      <alignment horizontal="center" vertical="center"/>
    </xf>
    <xf numFmtId="165" fontId="5" fillId="0" borderId="22" xfId="7" applyNumberFormat="1" applyFont="1" applyFill="1" applyBorder="1" applyAlignment="1">
      <alignment horizontal="right" vertical="center"/>
    </xf>
    <xf numFmtId="49" fontId="5" fillId="0" borderId="22" xfId="7" applyNumberFormat="1" applyFont="1" applyFill="1" applyBorder="1" applyAlignment="1">
      <alignment horizontal="left" vertical="center" wrapText="1"/>
    </xf>
    <xf numFmtId="1" fontId="4" fillId="0" borderId="22" xfId="7" applyNumberFormat="1" applyFont="1" applyFill="1" applyBorder="1" applyAlignment="1">
      <alignment horizontal="right"/>
    </xf>
    <xf numFmtId="1" fontId="4" fillId="0" borderId="91" xfId="7" applyNumberFormat="1" applyFont="1" applyFill="1" applyBorder="1" applyAlignment="1">
      <alignment horizontal="right"/>
    </xf>
    <xf numFmtId="1" fontId="4" fillId="0" borderId="52" xfId="7" applyNumberFormat="1" applyFont="1" applyFill="1" applyBorder="1" applyAlignment="1">
      <alignment horizontal="right"/>
    </xf>
    <xf numFmtId="1" fontId="4" fillId="0" borderId="45" xfId="7" applyNumberFormat="1" applyFont="1" applyFill="1" applyBorder="1" applyAlignment="1">
      <alignment horizontal="right"/>
    </xf>
    <xf numFmtId="49" fontId="5" fillId="0" borderId="92" xfId="7" applyNumberFormat="1" applyFont="1" applyFill="1" applyBorder="1" applyAlignment="1">
      <alignment horizontal="center" vertical="center"/>
    </xf>
    <xf numFmtId="49" fontId="5" fillId="0" borderId="10" xfId="7" applyNumberFormat="1" applyFont="1" applyFill="1" applyBorder="1" applyAlignment="1">
      <alignment horizontal="center" vertical="center"/>
    </xf>
    <xf numFmtId="165" fontId="5" fillId="0" borderId="46" xfId="7" applyNumberFormat="1" applyFont="1" applyFill="1" applyBorder="1" applyAlignment="1">
      <alignment horizontal="right" vertical="center"/>
    </xf>
    <xf numFmtId="0" fontId="25" fillId="0" borderId="57" xfId="0" applyFont="1" applyFill="1" applyBorder="1" applyAlignment="1">
      <alignment horizontal="left" vertical="center" wrapText="1"/>
    </xf>
    <xf numFmtId="0" fontId="25" fillId="0" borderId="24" xfId="0" applyFont="1" applyFill="1" applyBorder="1" applyAlignment="1">
      <alignment horizontal="left" vertical="center" wrapText="1"/>
    </xf>
    <xf numFmtId="0" fontId="25" fillId="0" borderId="52" xfId="0" applyFont="1" applyFill="1" applyBorder="1" applyAlignment="1">
      <alignment horizontal="left" wrapText="1"/>
    </xf>
    <xf numFmtId="165" fontId="5" fillId="0" borderId="7" xfId="7" applyNumberFormat="1" applyFont="1" applyFill="1" applyBorder="1" applyAlignment="1">
      <alignment horizontal="right" vertical="center"/>
    </xf>
    <xf numFmtId="1" fontId="25" fillId="0" borderId="60" xfId="7" applyNumberFormat="1" applyFont="1" applyFill="1" applyBorder="1" applyAlignment="1">
      <alignment horizontal="right" vertical="center"/>
    </xf>
    <xf numFmtId="1" fontId="25" fillId="0" borderId="79" xfId="7" applyNumberFormat="1" applyFont="1" applyFill="1" applyBorder="1" applyAlignment="1">
      <alignment horizontal="right" vertical="center"/>
    </xf>
    <xf numFmtId="1" fontId="25" fillId="0" borderId="52" xfId="7" applyNumberFormat="1" applyFont="1" applyFill="1" applyBorder="1" applyAlignment="1">
      <alignment horizontal="right" vertical="center"/>
    </xf>
    <xf numFmtId="1" fontId="25" fillId="0" borderId="45" xfId="7" applyNumberFormat="1" applyFont="1" applyFill="1" applyBorder="1" applyAlignment="1">
      <alignment horizontal="right" vertical="center"/>
    </xf>
    <xf numFmtId="49" fontId="5" fillId="0" borderId="26" xfId="0" applyNumberFormat="1" applyFont="1" applyFill="1" applyBorder="1" applyAlignment="1">
      <alignment horizontal="center" vertical="center"/>
    </xf>
    <xf numFmtId="165" fontId="5" fillId="0" borderId="29" xfId="7" applyNumberFormat="1" applyFont="1" applyFill="1" applyBorder="1" applyAlignment="1">
      <alignment horizontal="right" vertical="center"/>
    </xf>
    <xf numFmtId="165" fontId="5" fillId="0" borderId="85" xfId="7" applyNumberFormat="1" applyFont="1" applyFill="1" applyBorder="1" applyAlignment="1">
      <alignment horizontal="right" vertical="center"/>
    </xf>
    <xf numFmtId="0" fontId="5" fillId="0" borderId="57" xfId="0" applyNumberFormat="1" applyFont="1" applyFill="1" applyBorder="1" applyAlignment="1">
      <alignment horizontal="right" vertical="center"/>
    </xf>
    <xf numFmtId="0" fontId="5" fillId="0" borderId="58" xfId="0" applyNumberFormat="1" applyFont="1" applyFill="1" applyBorder="1" applyAlignment="1">
      <alignment horizontal="right" vertical="center"/>
    </xf>
    <xf numFmtId="0" fontId="5" fillId="0" borderId="22" xfId="0" applyNumberFormat="1" applyFont="1" applyFill="1" applyBorder="1" applyAlignment="1">
      <alignment horizontal="right" vertical="center"/>
    </xf>
    <xf numFmtId="0" fontId="5" fillId="0" borderId="91" xfId="0" applyNumberFormat="1" applyFont="1" applyFill="1" applyBorder="1" applyAlignment="1">
      <alignment horizontal="right" vertical="center"/>
    </xf>
    <xf numFmtId="0" fontId="5" fillId="0" borderId="24" xfId="0" applyNumberFormat="1" applyFont="1" applyFill="1" applyBorder="1" applyAlignment="1">
      <alignment horizontal="right" vertical="center"/>
    </xf>
    <xf numFmtId="0" fontId="5" fillId="0" borderId="25" xfId="0" applyNumberFormat="1" applyFont="1" applyFill="1" applyBorder="1" applyAlignment="1">
      <alignment horizontal="right" vertical="center"/>
    </xf>
    <xf numFmtId="49" fontId="5" fillId="0" borderId="94" xfId="7" applyNumberFormat="1" applyFont="1" applyFill="1" applyBorder="1" applyAlignment="1">
      <alignment horizontal="center" vertical="center"/>
    </xf>
    <xf numFmtId="49" fontId="5" fillId="0" borderId="33" xfId="7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vertical="center" wrapText="1"/>
    </xf>
    <xf numFmtId="0" fontId="2" fillId="0" borderId="52" xfId="8" applyFont="1" applyFill="1" applyBorder="1" applyAlignment="1">
      <alignment horizontal="right"/>
    </xf>
    <xf numFmtId="0" fontId="2" fillId="0" borderId="45" xfId="8" applyFont="1" applyFill="1" applyBorder="1" applyAlignment="1">
      <alignment horizontal="right"/>
    </xf>
    <xf numFmtId="165" fontId="5" fillId="0" borderId="71" xfId="7" applyNumberFormat="1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165" fontId="5" fillId="0" borderId="15" xfId="7" applyNumberFormat="1" applyFont="1" applyFill="1" applyBorder="1" applyAlignment="1">
      <alignment horizontal="right" vertical="center"/>
    </xf>
    <xf numFmtId="49" fontId="5" fillId="0" borderId="28" xfId="7" applyNumberFormat="1" applyFont="1" applyFill="1" applyBorder="1" applyAlignment="1">
      <alignment horizontal="center" vertical="center"/>
    </xf>
    <xf numFmtId="165" fontId="5" fillId="0" borderId="11" xfId="7" applyNumberFormat="1" applyFont="1" applyFill="1" applyBorder="1" applyAlignment="1">
      <alignment horizontal="right" vertical="center"/>
    </xf>
    <xf numFmtId="0" fontId="5" fillId="0" borderId="15" xfId="8" applyFont="1" applyFill="1" applyBorder="1" applyAlignment="1">
      <alignment vertical="center" wrapText="1"/>
    </xf>
    <xf numFmtId="1" fontId="5" fillId="0" borderId="53" xfId="7" applyNumberFormat="1" applyFont="1" applyFill="1" applyBorder="1" applyAlignment="1">
      <alignment vertical="center" wrapText="1"/>
    </xf>
    <xf numFmtId="1" fontId="5" fillId="0" borderId="24" xfId="7" applyNumberFormat="1" applyFont="1" applyFill="1" applyBorder="1" applyAlignment="1">
      <alignment horizontal="left" vertical="center" wrapText="1"/>
    </xf>
    <xf numFmtId="1" fontId="4" fillId="0" borderId="34" xfId="7" applyNumberFormat="1" applyFont="1" applyFill="1" applyBorder="1" applyAlignment="1">
      <alignment horizontal="right"/>
    </xf>
    <xf numFmtId="1" fontId="4" fillId="0" borderId="37" xfId="7" applyNumberFormat="1" applyFont="1" applyFill="1" applyBorder="1" applyAlignment="1">
      <alignment horizontal="right"/>
    </xf>
    <xf numFmtId="0" fontId="20" fillId="0" borderId="0" xfId="8" applyFont="1" applyFill="1" applyBorder="1" applyAlignment="1">
      <alignment horizontal="center"/>
    </xf>
    <xf numFmtId="0" fontId="20" fillId="0" borderId="0" xfId="8" applyFont="1" applyFill="1" applyAlignment="1">
      <alignment horizontal="center"/>
    </xf>
    <xf numFmtId="0" fontId="20" fillId="0" borderId="0" xfId="8" applyFont="1" applyFill="1"/>
    <xf numFmtId="165" fontId="24" fillId="0" borderId="0" xfId="8" applyNumberFormat="1" applyFont="1" applyFill="1" applyBorder="1" applyAlignment="1">
      <alignment horizontal="center"/>
    </xf>
    <xf numFmtId="0" fontId="20" fillId="0" borderId="0" xfId="8" applyFont="1" applyFill="1" applyBorder="1"/>
    <xf numFmtId="165" fontId="20" fillId="0" borderId="0" xfId="8" applyNumberFormat="1" applyFont="1" applyFill="1" applyBorder="1" applyAlignment="1">
      <alignment horizontal="center"/>
    </xf>
    <xf numFmtId="0" fontId="20" fillId="0" borderId="1" xfId="8" applyFont="1" applyFill="1" applyBorder="1" applyAlignment="1">
      <alignment horizontal="center"/>
    </xf>
    <xf numFmtId="165" fontId="20" fillId="0" borderId="0" xfId="8" applyNumberFormat="1" applyFont="1" applyFill="1"/>
    <xf numFmtId="165" fontId="20" fillId="0" borderId="0" xfId="8" applyNumberFormat="1" applyFont="1" applyFill="1" applyAlignment="1">
      <alignment horizontal="center"/>
    </xf>
    <xf numFmtId="165" fontId="2" fillId="0" borderId="0" xfId="8" applyNumberFormat="1" applyFont="1" applyFill="1" applyAlignment="1">
      <alignment horizontal="center"/>
    </xf>
    <xf numFmtId="0" fontId="12" fillId="0" borderId="1" xfId="8" applyFont="1" applyFill="1" applyBorder="1"/>
    <xf numFmtId="0" fontId="12" fillId="0" borderId="0" xfId="8" applyFont="1" applyFill="1" applyAlignment="1">
      <alignment horizontal="right"/>
    </xf>
    <xf numFmtId="0" fontId="12" fillId="0" borderId="0" xfId="8" applyFont="1" applyFill="1" applyBorder="1" applyAlignment="1">
      <alignment horizontal="right"/>
    </xf>
    <xf numFmtId="1" fontId="12" fillId="0" borderId="0" xfId="8" applyNumberFormat="1" applyFont="1" applyFill="1" applyAlignment="1">
      <alignment horizontal="right"/>
    </xf>
    <xf numFmtId="0" fontId="2" fillId="0" borderId="1" xfId="8" applyFont="1" applyFill="1" applyBorder="1"/>
    <xf numFmtId="0" fontId="2" fillId="0" borderId="0" xfId="8" applyFont="1" applyFill="1" applyAlignment="1">
      <alignment vertical="top" wrapText="1"/>
    </xf>
    <xf numFmtId="0" fontId="18" fillId="0" borderId="12" xfId="3" applyFont="1" applyFill="1" applyBorder="1" applyAlignment="1">
      <alignment horizontal="center" vertical="center" textRotation="90"/>
    </xf>
    <xf numFmtId="0" fontId="18" fillId="0" borderId="105" xfId="3" applyFont="1" applyFill="1" applyBorder="1" applyAlignment="1">
      <alignment horizontal="center" vertical="center" textRotation="90"/>
    </xf>
    <xf numFmtId="165" fontId="5" fillId="0" borderId="52" xfId="10" applyNumberFormat="1" applyFont="1" applyFill="1" applyBorder="1" applyAlignment="1">
      <alignment vertical="center"/>
    </xf>
    <xf numFmtId="0" fontId="5" fillId="0" borderId="2" xfId="8" applyFont="1" applyFill="1" applyBorder="1" applyAlignment="1">
      <alignment vertical="center"/>
    </xf>
    <xf numFmtId="0" fontId="5" fillId="0" borderId="23" xfId="8" applyFont="1" applyFill="1" applyBorder="1" applyAlignment="1">
      <alignment vertical="center"/>
    </xf>
    <xf numFmtId="0" fontId="5" fillId="0" borderId="24" xfId="8" applyFont="1" applyFill="1" applyBorder="1" applyAlignment="1">
      <alignment vertical="center"/>
    </xf>
    <xf numFmtId="0" fontId="5" fillId="0" borderId="25" xfId="8" applyFont="1" applyFill="1" applyBorder="1" applyAlignment="1">
      <alignment vertical="center"/>
    </xf>
    <xf numFmtId="1" fontId="5" fillId="0" borderId="106" xfId="7" applyNumberFormat="1" applyFont="1" applyFill="1" applyBorder="1" applyAlignment="1">
      <alignment horizontal="center" vertical="center"/>
    </xf>
    <xf numFmtId="1" fontId="5" fillId="0" borderId="67" xfId="7" applyNumberFormat="1" applyFont="1" applyFill="1" applyBorder="1" applyAlignment="1">
      <alignment horizontal="center" vertical="center"/>
    </xf>
    <xf numFmtId="1" fontId="5" fillId="0" borderId="107" xfId="7" applyNumberFormat="1" applyFont="1" applyFill="1" applyBorder="1" applyAlignment="1">
      <alignment horizontal="center" vertical="center"/>
    </xf>
    <xf numFmtId="1" fontId="5" fillId="0" borderId="56" xfId="7" applyNumberFormat="1" applyFont="1" applyFill="1" applyBorder="1" applyAlignment="1">
      <alignment vertical="center"/>
    </xf>
    <xf numFmtId="0" fontId="5" fillId="0" borderId="70" xfId="0" applyFont="1" applyFill="1" applyBorder="1" applyAlignment="1">
      <alignment vertical="center" wrapText="1"/>
    </xf>
    <xf numFmtId="1" fontId="5" fillId="0" borderId="78" xfId="7" applyNumberFormat="1" applyFont="1" applyFill="1" applyBorder="1" applyAlignment="1">
      <alignment vertical="center" wrapText="1"/>
    </xf>
    <xf numFmtId="49" fontId="5" fillId="0" borderId="70" xfId="7" applyNumberFormat="1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right" vertical="center" wrapText="1"/>
    </xf>
    <xf numFmtId="1" fontId="5" fillId="0" borderId="70" xfId="7" applyNumberFormat="1" applyFont="1" applyFill="1" applyBorder="1" applyAlignment="1">
      <alignment horizontal="right" vertical="center" wrapText="1"/>
    </xf>
    <xf numFmtId="1" fontId="5" fillId="0" borderId="78" xfId="7" applyNumberFormat="1" applyFont="1" applyFill="1" applyBorder="1" applyAlignment="1">
      <alignment horizontal="right" vertical="center" wrapText="1"/>
    </xf>
    <xf numFmtId="0" fontId="0" fillId="0" borderId="43" xfId="0" applyFill="1" applyBorder="1" applyAlignment="1">
      <alignment horizontal="center" vertical="top" textRotation="90" wrapText="1"/>
    </xf>
    <xf numFmtId="165" fontId="5" fillId="0" borderId="70" xfId="7" applyNumberFormat="1" applyFont="1" applyFill="1" applyBorder="1" applyAlignment="1">
      <alignment horizontal="center"/>
    </xf>
    <xf numFmtId="165" fontId="5" fillId="0" borderId="78" xfId="7" applyNumberFormat="1" applyFont="1" applyFill="1" applyBorder="1" applyAlignment="1">
      <alignment horizontal="center"/>
    </xf>
    <xf numFmtId="168" fontId="5" fillId="0" borderId="70" xfId="6" applyNumberFormat="1" applyFont="1" applyFill="1" applyBorder="1" applyAlignment="1">
      <alignment horizontal="center" vertical="center"/>
    </xf>
    <xf numFmtId="168" fontId="5" fillId="0" borderId="78" xfId="6" applyNumberFormat="1" applyFont="1" applyFill="1" applyBorder="1" applyAlignment="1">
      <alignment horizontal="center" vertical="center"/>
    </xf>
    <xf numFmtId="168" fontId="5" fillId="0" borderId="60" xfId="7" applyNumberFormat="1" applyFont="1" applyFill="1" applyBorder="1" applyAlignment="1">
      <alignment horizontal="center" vertical="center"/>
    </xf>
    <xf numFmtId="168" fontId="5" fillId="0" borderId="79" xfId="7" applyNumberFormat="1" applyFont="1" applyFill="1" applyBorder="1" applyAlignment="1">
      <alignment horizontal="center" vertical="center"/>
    </xf>
    <xf numFmtId="9" fontId="5" fillId="0" borderId="2" xfId="10" applyFont="1" applyFill="1" applyBorder="1" applyAlignment="1">
      <alignment horizontal="center" vertical="center"/>
    </xf>
    <xf numFmtId="167" fontId="5" fillId="0" borderId="2" xfId="10" applyNumberFormat="1" applyFont="1" applyFill="1" applyBorder="1" applyAlignment="1">
      <alignment horizontal="center" vertical="center"/>
    </xf>
    <xf numFmtId="167" fontId="5" fillId="0" borderId="23" xfId="10" applyNumberFormat="1" applyFont="1" applyFill="1" applyBorder="1" applyAlignment="1">
      <alignment horizontal="center" vertical="center"/>
    </xf>
    <xf numFmtId="3" fontId="5" fillId="0" borderId="52" xfId="1" applyNumberFormat="1" applyFont="1" applyFill="1" applyBorder="1" applyAlignment="1">
      <alignment horizontal="left" vertical="center"/>
    </xf>
    <xf numFmtId="0" fontId="5" fillId="0" borderId="60" xfId="3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/>
    </xf>
    <xf numFmtId="0" fontId="5" fillId="0" borderId="79" xfId="0" applyFont="1" applyFill="1" applyBorder="1" applyAlignment="1">
      <alignment horizontal="center"/>
    </xf>
    <xf numFmtId="1" fontId="5" fillId="0" borderId="34" xfId="7" applyNumberFormat="1" applyFont="1" applyFill="1" applyBorder="1" applyAlignment="1">
      <alignment horizontal="center"/>
    </xf>
    <xf numFmtId="1" fontId="5" fillId="0" borderId="37" xfId="7" applyNumberFormat="1" applyFont="1" applyFill="1" applyBorder="1" applyAlignment="1">
      <alignment horizontal="center"/>
    </xf>
    <xf numFmtId="1" fontId="12" fillId="0" borderId="0" xfId="8" applyNumberFormat="1" applyFont="1" applyFill="1"/>
    <xf numFmtId="1" fontId="12" fillId="0" borderId="0" xfId="8" applyNumberFormat="1" applyFont="1" applyFill="1" applyAlignment="1">
      <alignment horizontal="center"/>
    </xf>
    <xf numFmtId="1" fontId="12" fillId="0" borderId="0" xfId="8" applyNumberFormat="1" applyFont="1" applyFill="1" applyBorder="1" applyAlignment="1">
      <alignment horizontal="center"/>
    </xf>
    <xf numFmtId="1" fontId="15" fillId="0" borderId="57" xfId="7" applyNumberFormat="1" applyFont="1" applyFill="1" applyBorder="1" applyAlignment="1">
      <alignment vertical="center"/>
    </xf>
    <xf numFmtId="1" fontId="15" fillId="0" borderId="58" xfId="7" applyNumberFormat="1" applyFont="1" applyFill="1" applyBorder="1" applyAlignment="1">
      <alignment vertical="center"/>
    </xf>
    <xf numFmtId="1" fontId="15" fillId="0" borderId="24" xfId="7" applyNumberFormat="1" applyFont="1" applyFill="1" applyBorder="1" applyAlignment="1">
      <alignment vertical="center"/>
    </xf>
    <xf numFmtId="1" fontId="15" fillId="0" borderId="25" xfId="7" applyNumberFormat="1" applyFont="1" applyFill="1" applyBorder="1" applyAlignment="1">
      <alignment vertical="center"/>
    </xf>
    <xf numFmtId="49" fontId="5" fillId="0" borderId="16" xfId="7" applyNumberFormat="1" applyFont="1" applyFill="1" applyBorder="1" applyAlignment="1">
      <alignment horizontal="left" vertical="center" wrapText="1"/>
    </xf>
    <xf numFmtId="49" fontId="5" fillId="0" borderId="16" xfId="7" applyNumberFormat="1" applyFont="1" applyFill="1" applyBorder="1" applyAlignment="1">
      <alignment horizontal="left" vertical="center"/>
    </xf>
    <xf numFmtId="1" fontId="5" fillId="0" borderId="23" xfId="7" applyNumberFormat="1" applyFont="1" applyFill="1" applyBorder="1" applyAlignment="1">
      <alignment vertical="center"/>
    </xf>
    <xf numFmtId="1" fontId="5" fillId="0" borderId="86" xfId="7" applyNumberFormat="1" applyFont="1" applyFill="1" applyBorder="1" applyAlignment="1">
      <alignment vertical="center"/>
    </xf>
    <xf numFmtId="1" fontId="5" fillId="0" borderId="29" xfId="7" applyNumberFormat="1" applyFont="1" applyFill="1" applyBorder="1" applyAlignment="1">
      <alignment vertical="center"/>
    </xf>
    <xf numFmtId="1" fontId="5" fillId="0" borderId="79" xfId="7" applyNumberFormat="1" applyFont="1" applyFill="1" applyBorder="1" applyAlignment="1">
      <alignment vertical="center"/>
    </xf>
    <xf numFmtId="1" fontId="5" fillId="0" borderId="53" xfId="7" applyNumberFormat="1" applyFont="1" applyFill="1" applyBorder="1" applyAlignment="1">
      <alignment vertical="center"/>
    </xf>
    <xf numFmtId="1" fontId="5" fillId="0" borderId="25" xfId="7" applyNumberFormat="1" applyFont="1" applyFill="1" applyBorder="1" applyAlignment="1">
      <alignment vertical="center"/>
    </xf>
    <xf numFmtId="3" fontId="5" fillId="0" borderId="12" xfId="1" applyNumberFormat="1" applyFont="1" applyFill="1" applyBorder="1" applyAlignment="1">
      <alignment horizontal="center" vertical="center"/>
    </xf>
    <xf numFmtId="3" fontId="5" fillId="0" borderId="56" xfId="1" applyNumberFormat="1" applyFont="1" applyFill="1" applyBorder="1" applyAlignment="1">
      <alignment horizontal="center" vertical="center"/>
    </xf>
    <xf numFmtId="1" fontId="5" fillId="0" borderId="55" xfId="7" applyNumberFormat="1" applyFont="1" applyFill="1" applyBorder="1" applyAlignment="1">
      <alignment vertical="center"/>
    </xf>
    <xf numFmtId="1" fontId="12" fillId="0" borderId="0" xfId="8" applyNumberFormat="1" applyFont="1" applyFill="1" applyBorder="1"/>
    <xf numFmtId="49" fontId="5" fillId="0" borderId="28" xfId="0" applyNumberFormat="1" applyFont="1" applyFill="1" applyBorder="1" applyAlignment="1">
      <alignment vertical="center" wrapText="1"/>
    </xf>
    <xf numFmtId="165" fontId="5" fillId="0" borderId="12" xfId="0" applyNumberFormat="1" applyFont="1" applyFill="1" applyBorder="1" applyAlignment="1">
      <alignment horizontal="right"/>
    </xf>
    <xf numFmtId="1" fontId="5" fillId="0" borderId="12" xfId="7" applyNumberFormat="1" applyFont="1" applyFill="1" applyBorder="1" applyAlignment="1">
      <alignment horizontal="right"/>
    </xf>
    <xf numFmtId="1" fontId="5" fillId="0" borderId="56" xfId="7" applyNumberFormat="1" applyFont="1" applyFill="1" applyBorder="1" applyAlignment="1">
      <alignment horizontal="right"/>
    </xf>
    <xf numFmtId="0" fontId="5" fillId="0" borderId="70" xfId="0" applyNumberFormat="1" applyFont="1" applyFill="1" applyBorder="1" applyAlignment="1">
      <alignment horizontal="left" vertical="center"/>
    </xf>
    <xf numFmtId="0" fontId="4" fillId="0" borderId="29" xfId="0" applyNumberFormat="1" applyFont="1" applyFill="1" applyBorder="1" applyAlignment="1">
      <alignment horizontal="left" vertical="center"/>
    </xf>
    <xf numFmtId="165" fontId="4" fillId="0" borderId="66" xfId="7" applyNumberFormat="1" applyFont="1" applyFill="1" applyBorder="1" applyAlignment="1">
      <alignment horizontal="right"/>
    </xf>
    <xf numFmtId="49" fontId="5" fillId="0" borderId="53" xfId="0" applyNumberFormat="1" applyFont="1" applyFill="1" applyBorder="1" applyAlignment="1">
      <alignment horizontal="left" vertical="center"/>
    </xf>
    <xf numFmtId="49" fontId="5" fillId="0" borderId="108" xfId="7" applyNumberFormat="1" applyFont="1" applyFill="1" applyBorder="1" applyAlignment="1">
      <alignment horizontal="center" vertical="center"/>
    </xf>
    <xf numFmtId="165" fontId="5" fillId="0" borderId="109" xfId="7" applyNumberFormat="1" applyFont="1" applyFill="1" applyBorder="1" applyAlignment="1">
      <alignment horizontal="right" vertical="center"/>
    </xf>
    <xf numFmtId="0" fontId="5" fillId="0" borderId="24" xfId="0" applyNumberFormat="1" applyFont="1" applyFill="1" applyBorder="1" applyAlignment="1">
      <alignment horizontal="left" vertical="center"/>
    </xf>
    <xf numFmtId="49" fontId="5" fillId="0" borderId="109" xfId="7" applyNumberFormat="1" applyFont="1" applyFill="1" applyBorder="1" applyAlignment="1">
      <alignment horizontal="center"/>
    </xf>
    <xf numFmtId="165" fontId="4" fillId="0" borderId="91" xfId="7" applyNumberFormat="1" applyFont="1" applyFill="1" applyBorder="1" applyAlignment="1">
      <alignment vertical="top"/>
    </xf>
    <xf numFmtId="1" fontId="5" fillId="0" borderId="29" xfId="7" applyNumberFormat="1" applyFont="1" applyFill="1" applyBorder="1"/>
    <xf numFmtId="165" fontId="5" fillId="0" borderId="68" xfId="7" applyNumberFormat="1" applyFont="1" applyFill="1" applyBorder="1"/>
    <xf numFmtId="49" fontId="5" fillId="0" borderId="1" xfId="0" applyNumberFormat="1" applyFont="1" applyFill="1" applyBorder="1" applyAlignment="1">
      <alignment horizontal="center" vertical="center"/>
    </xf>
    <xf numFmtId="49" fontId="5" fillId="0" borderId="57" xfId="7" applyNumberFormat="1" applyFont="1" applyFill="1" applyBorder="1" applyAlignment="1">
      <alignment horizontal="center" vertical="center"/>
    </xf>
    <xf numFmtId="165" fontId="5" fillId="0" borderId="70" xfId="7" applyNumberFormat="1" applyFont="1" applyFill="1" applyBorder="1" applyAlignment="1">
      <alignment horizontal="right" vertical="center"/>
    </xf>
    <xf numFmtId="49" fontId="5" fillId="0" borderId="70" xfId="7" applyNumberFormat="1" applyFont="1" applyFill="1" applyBorder="1" applyAlignment="1">
      <alignment horizontal="left" vertical="center" wrapText="1"/>
    </xf>
    <xf numFmtId="1" fontId="5" fillId="0" borderId="56" xfId="7" applyNumberFormat="1" applyFont="1" applyFill="1" applyBorder="1" applyAlignment="1">
      <alignment horizontal="center" vertical="center"/>
    </xf>
    <xf numFmtId="1" fontId="5" fillId="0" borderId="55" xfId="7" applyNumberFormat="1" applyFont="1" applyFill="1" applyBorder="1" applyAlignment="1">
      <alignment horizontal="center" vertical="center"/>
    </xf>
    <xf numFmtId="165" fontId="5" fillId="0" borderId="57" xfId="7" applyNumberFormat="1" applyFont="1" applyFill="1" applyBorder="1" applyAlignment="1">
      <alignment horizontal="right" vertical="center"/>
    </xf>
    <xf numFmtId="1" fontId="5" fillId="0" borderId="78" xfId="7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left" vertical="center"/>
    </xf>
    <xf numFmtId="165" fontId="5" fillId="0" borderId="13" xfId="7" applyNumberFormat="1" applyFont="1" applyFill="1" applyBorder="1" applyAlignment="1">
      <alignment horizontal="right" vertical="center"/>
    </xf>
    <xf numFmtId="49" fontId="5" fillId="0" borderId="2" xfId="7" applyNumberFormat="1" applyFont="1" applyFill="1" applyBorder="1" applyAlignment="1">
      <alignment horizontal="center" vertical="center"/>
    </xf>
    <xf numFmtId="49" fontId="5" fillId="0" borderId="70" xfId="0" applyNumberFormat="1" applyFont="1" applyFill="1" applyBorder="1" applyAlignment="1">
      <alignment horizontal="left" vertical="center"/>
    </xf>
    <xf numFmtId="0" fontId="13" fillId="0" borderId="36" xfId="3" applyFont="1" applyFill="1" applyBorder="1" applyAlignment="1">
      <alignment horizontal="right" vertical="top"/>
    </xf>
    <xf numFmtId="49" fontId="5" fillId="0" borderId="13" xfId="7" applyNumberFormat="1" applyFont="1" applyFill="1" applyBorder="1" applyAlignment="1">
      <alignment horizontal="center" vertical="center"/>
    </xf>
    <xf numFmtId="165" fontId="5" fillId="0" borderId="70" xfId="7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70" xfId="7" applyNumberFormat="1" applyFont="1" applyFill="1" applyBorder="1" applyAlignment="1">
      <alignment horizontal="center" vertical="center"/>
    </xf>
    <xf numFmtId="49" fontId="5" fillId="0" borderId="57" xfId="7" applyNumberFormat="1" applyFont="1" applyFill="1" applyBorder="1" applyAlignment="1">
      <alignment horizontal="left" vertical="center" wrapText="1"/>
    </xf>
    <xf numFmtId="49" fontId="5" fillId="0" borderId="57" xfId="0" applyNumberFormat="1" applyFont="1" applyFill="1" applyBorder="1" applyAlignment="1">
      <alignment horizontal="left" vertical="center"/>
    </xf>
    <xf numFmtId="49" fontId="5" fillId="0" borderId="13" xfId="7" applyNumberFormat="1" applyFont="1" applyFill="1" applyBorder="1" applyAlignment="1">
      <alignment horizontal="left" vertical="center"/>
    </xf>
    <xf numFmtId="49" fontId="5" fillId="0" borderId="60" xfId="7" applyNumberFormat="1" applyFont="1" applyFill="1" applyBorder="1" applyAlignment="1">
      <alignment horizontal="center" vertical="center"/>
    </xf>
    <xf numFmtId="165" fontId="5" fillId="0" borderId="57" xfId="7" applyNumberFormat="1" applyFont="1" applyFill="1" applyBorder="1" applyAlignment="1">
      <alignment vertical="center"/>
    </xf>
    <xf numFmtId="0" fontId="0" fillId="0" borderId="43" xfId="0" applyFill="1" applyBorder="1" applyAlignment="1">
      <alignment horizontal="center" vertical="center" textRotation="90" wrapText="1"/>
    </xf>
    <xf numFmtId="165" fontId="5" fillId="0" borderId="70" xfId="7" applyNumberFormat="1" applyFont="1" applyFill="1" applyBorder="1" applyAlignment="1">
      <alignment vertical="center"/>
    </xf>
    <xf numFmtId="1" fontId="5" fillId="0" borderId="70" xfId="7" applyNumberFormat="1" applyFont="1" applyFill="1" applyBorder="1" applyAlignment="1">
      <alignment vertical="center" wrapText="1"/>
    </xf>
    <xf numFmtId="49" fontId="5" fillId="0" borderId="60" xfId="0" applyNumberFormat="1" applyFont="1" applyFill="1" applyBorder="1" applyAlignment="1">
      <alignment horizontal="left" vertical="center"/>
    </xf>
    <xf numFmtId="49" fontId="5" fillId="0" borderId="24" xfId="7" applyNumberFormat="1" applyFont="1" applyFill="1" applyBorder="1" applyAlignment="1">
      <alignment horizontal="left" vertical="center" wrapText="1"/>
    </xf>
    <xf numFmtId="49" fontId="5" fillId="0" borderId="57" xfId="0" applyNumberFormat="1" applyFont="1" applyFill="1" applyBorder="1" applyAlignment="1">
      <alignment horizontal="left" vertical="center" wrapText="1"/>
    </xf>
    <xf numFmtId="49" fontId="5" fillId="0" borderId="24" xfId="7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right" vertical="center"/>
    </xf>
    <xf numFmtId="165" fontId="5" fillId="0" borderId="24" xfId="0" applyNumberFormat="1" applyFont="1" applyFill="1" applyBorder="1" applyAlignment="1">
      <alignment horizontal="right" vertical="center"/>
    </xf>
    <xf numFmtId="165" fontId="5" fillId="0" borderId="24" xfId="7" applyNumberFormat="1" applyFont="1" applyFill="1" applyBorder="1" applyAlignment="1">
      <alignment horizontal="right" vertical="center"/>
    </xf>
    <xf numFmtId="1" fontId="5" fillId="0" borderId="12" xfId="7" applyNumberFormat="1" applyFont="1" applyFill="1" applyBorder="1" applyAlignment="1">
      <alignment horizontal="left" vertical="center" wrapText="1"/>
    </xf>
    <xf numFmtId="49" fontId="5" fillId="0" borderId="12" xfId="7" applyNumberFormat="1" applyFont="1" applyFill="1" applyBorder="1" applyAlignment="1">
      <alignment horizontal="center" vertical="center"/>
    </xf>
    <xf numFmtId="165" fontId="5" fillId="0" borderId="12" xfId="7" applyNumberFormat="1" applyFont="1" applyFill="1" applyBorder="1" applyAlignment="1">
      <alignment vertical="center"/>
    </xf>
    <xf numFmtId="1" fontId="5" fillId="0" borderId="70" xfId="7" applyNumberFormat="1" applyFont="1" applyFill="1" applyBorder="1" applyAlignment="1">
      <alignment horizontal="left" vertical="center" wrapText="1"/>
    </xf>
    <xf numFmtId="49" fontId="5" fillId="0" borderId="26" xfId="7" applyNumberFormat="1" applyFont="1" applyFill="1" applyBorder="1" applyAlignment="1">
      <alignment horizontal="left" vertical="center"/>
    </xf>
    <xf numFmtId="1" fontId="5" fillId="0" borderId="13" xfId="7" applyNumberFormat="1" applyFont="1" applyFill="1" applyBorder="1" applyAlignment="1">
      <alignment horizontal="left" vertical="center" wrapText="1"/>
    </xf>
    <xf numFmtId="49" fontId="5" fillId="0" borderId="70" xfId="7" applyNumberFormat="1" applyFont="1" applyFill="1" applyBorder="1" applyAlignment="1">
      <alignment horizontal="left" vertical="center"/>
    </xf>
    <xf numFmtId="49" fontId="5" fillId="0" borderId="60" xfId="7" applyNumberFormat="1" applyFont="1" applyFill="1" applyBorder="1" applyAlignment="1">
      <alignment horizontal="left" vertical="center"/>
    </xf>
    <xf numFmtId="1" fontId="5" fillId="0" borderId="60" xfId="7" applyNumberFormat="1" applyFont="1" applyFill="1" applyBorder="1" applyAlignment="1">
      <alignment horizontal="right" vertical="center"/>
    </xf>
    <xf numFmtId="1" fontId="5" fillId="0" borderId="79" xfId="7" applyNumberFormat="1" applyFont="1" applyFill="1" applyBorder="1" applyAlignment="1">
      <alignment horizontal="right" vertical="center"/>
    </xf>
    <xf numFmtId="1" fontId="5" fillId="0" borderId="12" xfId="7" applyNumberFormat="1" applyFont="1" applyFill="1" applyBorder="1" applyAlignment="1">
      <alignment vertical="center" wrapText="1"/>
    </xf>
    <xf numFmtId="1" fontId="5" fillId="0" borderId="22" xfId="7" applyNumberFormat="1" applyFont="1" applyFill="1" applyBorder="1" applyAlignment="1">
      <alignment vertical="center" wrapText="1"/>
    </xf>
    <xf numFmtId="1" fontId="5" fillId="0" borderId="56" xfId="7" applyNumberFormat="1" applyFont="1" applyFill="1" applyBorder="1" applyAlignment="1">
      <alignment vertical="center" wrapText="1"/>
    </xf>
    <xf numFmtId="165" fontId="5" fillId="0" borderId="60" xfId="7" applyNumberFormat="1" applyFont="1" applyFill="1" applyBorder="1" applyAlignment="1">
      <alignment vertical="center"/>
    </xf>
    <xf numFmtId="1" fontId="5" fillId="0" borderId="58" xfId="7" applyNumberFormat="1" applyFont="1" applyFill="1" applyBorder="1" applyAlignment="1">
      <alignment vertical="center"/>
    </xf>
    <xf numFmtId="1" fontId="5" fillId="0" borderId="60" xfId="7" applyNumberFormat="1" applyFont="1" applyFill="1" applyBorder="1" applyAlignment="1">
      <alignment vertical="center" wrapText="1"/>
    </xf>
    <xf numFmtId="1" fontId="5" fillId="0" borderId="60" xfId="7" applyNumberFormat="1" applyFont="1" applyFill="1" applyBorder="1" applyAlignment="1">
      <alignment vertical="center"/>
    </xf>
    <xf numFmtId="1" fontId="5" fillId="0" borderId="79" xfId="7" applyNumberFormat="1" applyFont="1" applyFill="1" applyBorder="1" applyAlignment="1">
      <alignment vertical="center"/>
    </xf>
    <xf numFmtId="1" fontId="5" fillId="0" borderId="57" xfId="7" applyNumberFormat="1" applyFont="1" applyFill="1" applyBorder="1" applyAlignment="1">
      <alignment vertical="center"/>
    </xf>
    <xf numFmtId="0" fontId="5" fillId="0" borderId="60" xfId="7" applyNumberFormat="1" applyFont="1" applyFill="1" applyBorder="1" applyAlignment="1">
      <alignment horizontal="right" vertical="center"/>
    </xf>
    <xf numFmtId="49" fontId="5" fillId="0" borderId="60" xfId="7" applyNumberFormat="1" applyFont="1" applyFill="1" applyBorder="1" applyAlignment="1">
      <alignment horizontal="left" vertical="center" wrapText="1"/>
    </xf>
    <xf numFmtId="49" fontId="5" fillId="0" borderId="22" xfId="7" applyNumberFormat="1" applyFont="1" applyFill="1" applyBorder="1" applyAlignment="1">
      <alignment horizontal="center" vertical="center"/>
    </xf>
    <xf numFmtId="165" fontId="5" fillId="0" borderId="60" xfId="7" applyNumberFormat="1" applyFont="1" applyFill="1" applyBorder="1" applyAlignment="1">
      <alignment horizontal="right" vertical="center"/>
    </xf>
    <xf numFmtId="1" fontId="5" fillId="0" borderId="70" xfId="7" applyNumberFormat="1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left" vertical="center" wrapText="1"/>
    </xf>
    <xf numFmtId="165" fontId="5" fillId="0" borderId="60" xfId="0" applyNumberFormat="1" applyFont="1" applyFill="1" applyBorder="1" applyAlignment="1">
      <alignment horizontal="right" vertical="center"/>
    </xf>
    <xf numFmtId="165" fontId="5" fillId="0" borderId="22" xfId="7" applyNumberFormat="1" applyFont="1" applyFill="1" applyBorder="1" applyAlignment="1">
      <alignment horizontal="right" vertical="center"/>
    </xf>
    <xf numFmtId="0" fontId="6" fillId="0" borderId="43" xfId="0" applyFont="1" applyFill="1" applyBorder="1" applyAlignment="1">
      <alignment horizontal="center" vertical="center" textRotation="90" wrapText="1"/>
    </xf>
    <xf numFmtId="0" fontId="5" fillId="0" borderId="70" xfId="0" applyNumberFormat="1" applyFont="1" applyFill="1" applyBorder="1" applyAlignment="1">
      <alignment vertical="center"/>
    </xf>
    <xf numFmtId="49" fontId="5" fillId="0" borderId="57" xfId="7" applyNumberFormat="1" applyFont="1" applyFill="1" applyBorder="1" applyAlignment="1">
      <alignment vertical="center" wrapText="1"/>
    </xf>
    <xf numFmtId="0" fontId="5" fillId="0" borderId="52" xfId="0" applyNumberFormat="1" applyFont="1" applyFill="1" applyBorder="1" applyAlignment="1">
      <alignment vertical="center"/>
    </xf>
    <xf numFmtId="1" fontId="5" fillId="0" borderId="52" xfId="1" applyNumberFormat="1" applyFont="1" applyFill="1" applyBorder="1" applyAlignment="1">
      <alignment vertical="center" wrapText="1"/>
    </xf>
    <xf numFmtId="49" fontId="5" fillId="0" borderId="2" xfId="7" applyNumberFormat="1" applyFont="1" applyFill="1" applyBorder="1" applyAlignment="1">
      <alignment vertical="center" wrapText="1"/>
    </xf>
    <xf numFmtId="165" fontId="5" fillId="0" borderId="24" xfId="0" applyNumberFormat="1" applyFont="1" applyFill="1" applyBorder="1" applyAlignment="1">
      <alignment horizontal="center" vertical="center"/>
    </xf>
    <xf numFmtId="49" fontId="5" fillId="0" borderId="24" xfId="7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right" vertical="center"/>
    </xf>
    <xf numFmtId="49" fontId="5" fillId="0" borderId="86" xfId="7" applyNumberFormat="1" applyFont="1" applyFill="1" applyBorder="1" applyAlignment="1">
      <alignment vertical="center" wrapText="1"/>
    </xf>
    <xf numFmtId="49" fontId="5" fillId="0" borderId="53" xfId="7" applyNumberFormat="1" applyFont="1" applyFill="1" applyBorder="1" applyAlignment="1">
      <alignment vertical="center"/>
    </xf>
    <xf numFmtId="1" fontId="5" fillId="0" borderId="22" xfId="7" applyNumberFormat="1" applyFont="1" applyFill="1" applyBorder="1" applyAlignment="1">
      <alignment vertical="center"/>
    </xf>
    <xf numFmtId="1" fontId="5" fillId="0" borderId="91" xfId="7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right" vertical="center"/>
    </xf>
    <xf numFmtId="0" fontId="2" fillId="0" borderId="56" xfId="8" applyFont="1" applyFill="1" applyBorder="1" applyAlignment="1">
      <alignment vertical="center"/>
    </xf>
    <xf numFmtId="1" fontId="5" fillId="0" borderId="24" xfId="7" applyNumberFormat="1" applyFont="1" applyFill="1" applyBorder="1" applyAlignment="1">
      <alignment horizontal="right" vertical="center" wrapText="1"/>
    </xf>
    <xf numFmtId="1" fontId="5" fillId="0" borderId="25" xfId="7" applyNumberFormat="1" applyFont="1" applyFill="1" applyBorder="1" applyAlignment="1">
      <alignment horizontal="right" vertical="center" wrapText="1"/>
    </xf>
    <xf numFmtId="165" fontId="4" fillId="0" borderId="68" xfId="7" applyNumberFormat="1" applyFont="1" applyFill="1" applyBorder="1" applyAlignment="1"/>
    <xf numFmtId="165" fontId="4" fillId="0" borderId="70" xfId="7" applyNumberFormat="1" applyFont="1" applyFill="1" applyBorder="1" applyAlignment="1"/>
    <xf numFmtId="165" fontId="4" fillId="0" borderId="61" xfId="7" applyNumberFormat="1" applyFont="1" applyFill="1" applyBorder="1" applyAlignment="1"/>
    <xf numFmtId="49" fontId="5" fillId="0" borderId="70" xfId="7" applyNumberFormat="1" applyFont="1" applyFill="1" applyBorder="1" applyAlignment="1">
      <alignment vertical="center"/>
    </xf>
    <xf numFmtId="0" fontId="5" fillId="0" borderId="85" xfId="0" applyNumberFormat="1" applyFont="1" applyFill="1" applyBorder="1" applyAlignment="1">
      <alignment vertical="center"/>
    </xf>
    <xf numFmtId="165" fontId="5" fillId="0" borderId="45" xfId="7" applyNumberFormat="1" applyFont="1" applyFill="1" applyBorder="1" applyAlignment="1">
      <alignment vertical="center"/>
    </xf>
    <xf numFmtId="49" fontId="5" fillId="0" borderId="85" xfId="7" applyNumberFormat="1" applyFont="1" applyFill="1" applyBorder="1" applyAlignment="1">
      <alignment vertical="center" wrapText="1"/>
    </xf>
    <xf numFmtId="49" fontId="5" fillId="0" borderId="52" xfId="7" applyNumberFormat="1" applyFont="1" applyFill="1" applyBorder="1" applyAlignment="1">
      <alignment vertical="center"/>
    </xf>
    <xf numFmtId="3" fontId="5" fillId="0" borderId="60" xfId="1" applyNumberFormat="1" applyFont="1" applyFill="1" applyBorder="1" applyAlignment="1">
      <alignment horizontal="left" vertical="center" wrapText="1"/>
    </xf>
    <xf numFmtId="0" fontId="5" fillId="0" borderId="57" xfId="1" applyFont="1" applyFill="1" applyBorder="1" applyAlignment="1">
      <alignment horizontal="left" vertical="center" wrapText="1"/>
    </xf>
    <xf numFmtId="3" fontId="5" fillId="0" borderId="52" xfId="1" applyNumberFormat="1" applyFont="1" applyFill="1" applyBorder="1" applyAlignment="1">
      <alignment horizontal="left" vertical="center" wrapText="1"/>
    </xf>
    <xf numFmtId="0" fontId="5" fillId="0" borderId="52" xfId="0" applyNumberFormat="1" applyFont="1" applyFill="1" applyBorder="1" applyAlignment="1">
      <alignment horizontal="left" vertical="center"/>
    </xf>
    <xf numFmtId="165" fontId="5" fillId="0" borderId="54" xfId="7" applyNumberFormat="1" applyFont="1" applyFill="1" applyBorder="1" applyAlignment="1">
      <alignment vertical="center"/>
    </xf>
    <xf numFmtId="1" fontId="5" fillId="0" borderId="52" xfId="7" applyNumberFormat="1" applyFont="1" applyFill="1" applyBorder="1" applyAlignment="1">
      <alignment horizontal="left" vertical="center"/>
    </xf>
    <xf numFmtId="0" fontId="5" fillId="0" borderId="60" xfId="0" applyNumberFormat="1" applyFont="1" applyFill="1" applyBorder="1" applyAlignment="1">
      <alignment vertical="center"/>
    </xf>
    <xf numFmtId="2" fontId="5" fillId="0" borderId="60" xfId="7" applyNumberFormat="1" applyFont="1" applyFill="1" applyBorder="1" applyAlignment="1">
      <alignment horizontal="right" vertical="center"/>
    </xf>
    <xf numFmtId="165" fontId="5" fillId="0" borderId="57" xfId="8" applyNumberFormat="1" applyFont="1" applyFill="1" applyBorder="1" applyAlignment="1">
      <alignment horizontal="right" vertical="center"/>
    </xf>
    <xf numFmtId="165" fontId="5" fillId="0" borderId="95" xfId="7" applyNumberFormat="1" applyFont="1" applyFill="1" applyBorder="1" applyAlignment="1">
      <alignment vertical="center"/>
    </xf>
    <xf numFmtId="165" fontId="5" fillId="0" borderId="38" xfId="7" applyNumberFormat="1" applyFont="1" applyFill="1" applyBorder="1" applyAlignment="1">
      <alignment vertical="center"/>
    </xf>
    <xf numFmtId="165" fontId="5" fillId="0" borderId="13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165" fontId="5" fillId="0" borderId="57" xfId="7" applyNumberFormat="1" applyFont="1" applyFill="1" applyBorder="1" applyAlignment="1">
      <alignment horizontal="center" vertical="center"/>
    </xf>
    <xf numFmtId="165" fontId="5" fillId="0" borderId="57" xfId="0" applyNumberFormat="1" applyFont="1" applyFill="1" applyBorder="1" applyAlignment="1">
      <alignment vertical="center"/>
    </xf>
    <xf numFmtId="0" fontId="5" fillId="0" borderId="57" xfId="7" applyNumberFormat="1" applyFont="1" applyFill="1" applyBorder="1" applyAlignment="1">
      <alignment horizontal="right" vertical="center"/>
    </xf>
    <xf numFmtId="0" fontId="5" fillId="0" borderId="12" xfId="7" applyNumberFormat="1" applyFont="1" applyFill="1" applyBorder="1" applyAlignment="1">
      <alignment horizontal="right" vertical="center"/>
    </xf>
    <xf numFmtId="0" fontId="18" fillId="0" borderId="56" xfId="3" applyFont="1" applyFill="1" applyBorder="1" applyAlignment="1">
      <alignment horizontal="center" vertical="center" textRotation="90"/>
    </xf>
    <xf numFmtId="49" fontId="5" fillId="0" borderId="85" xfId="7" applyNumberFormat="1" applyFont="1" applyFill="1" applyBorder="1" applyAlignment="1">
      <alignment horizontal="center" vertical="center"/>
    </xf>
    <xf numFmtId="0" fontId="5" fillId="0" borderId="52" xfId="7" applyNumberFormat="1" applyFont="1" applyFill="1" applyBorder="1" applyAlignment="1">
      <alignment horizontal="right" vertical="center"/>
    </xf>
    <xf numFmtId="1" fontId="5" fillId="0" borderId="52" xfId="7" applyNumberFormat="1" applyFont="1" applyFill="1" applyBorder="1" applyAlignment="1">
      <alignment vertical="center" wrapText="1"/>
    </xf>
    <xf numFmtId="2" fontId="5" fillId="0" borderId="52" xfId="7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/>
    </xf>
    <xf numFmtId="1" fontId="5" fillId="0" borderId="2" xfId="7" applyNumberFormat="1" applyFont="1" applyFill="1" applyBorder="1" applyAlignment="1">
      <alignment vertical="top" wrapText="1"/>
    </xf>
    <xf numFmtId="165" fontId="5" fillId="0" borderId="2" xfId="7" applyNumberFormat="1" applyFont="1" applyFill="1" applyBorder="1" applyAlignment="1">
      <alignment horizontal="center" vertical="top"/>
    </xf>
    <xf numFmtId="165" fontId="5" fillId="0" borderId="23" xfId="7" applyNumberFormat="1" applyFont="1" applyFill="1" applyBorder="1" applyAlignment="1">
      <alignment horizontal="center" vertical="top"/>
    </xf>
    <xf numFmtId="0" fontId="5" fillId="0" borderId="2" xfId="7" applyNumberFormat="1" applyFont="1" applyFill="1" applyBorder="1" applyAlignment="1">
      <alignment horizontal="left" vertical="center"/>
    </xf>
    <xf numFmtId="49" fontId="5" fillId="0" borderId="24" xfId="0" applyNumberFormat="1" applyFont="1" applyFill="1" applyBorder="1" applyAlignment="1">
      <alignment horizontal="left" vertical="center"/>
    </xf>
    <xf numFmtId="165" fontId="5" fillId="0" borderId="57" xfId="7" applyNumberFormat="1" applyFont="1" applyFill="1" applyBorder="1" applyAlignment="1">
      <alignment vertical="top"/>
    </xf>
    <xf numFmtId="1" fontId="5" fillId="0" borderId="57" xfId="7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 wrapText="1"/>
    </xf>
    <xf numFmtId="1" fontId="5" fillId="0" borderId="2" xfId="7" applyNumberFormat="1" applyFont="1" applyFill="1" applyBorder="1" applyAlignment="1">
      <alignment horizontal="center" vertical="top"/>
    </xf>
    <xf numFmtId="1" fontId="5" fillId="0" borderId="23" xfId="7" applyNumberFormat="1" applyFont="1" applyFill="1" applyBorder="1" applyAlignment="1">
      <alignment horizontal="center" vertical="top"/>
    </xf>
    <xf numFmtId="3" fontId="5" fillId="0" borderId="2" xfId="1" applyNumberFormat="1" applyFont="1" applyFill="1" applyBorder="1" applyAlignment="1">
      <alignment horizontal="left" vertical="top" wrapText="1"/>
    </xf>
    <xf numFmtId="165" fontId="5" fillId="0" borderId="2" xfId="7" applyNumberFormat="1" applyFont="1" applyFill="1" applyBorder="1" applyAlignment="1">
      <alignment horizontal="center" vertical="center"/>
    </xf>
    <xf numFmtId="165" fontId="5" fillId="0" borderId="23" xfId="7" applyNumberFormat="1" applyFont="1" applyFill="1" applyBorder="1" applyAlignment="1">
      <alignment horizontal="center" vertical="center"/>
    </xf>
    <xf numFmtId="3" fontId="5" fillId="0" borderId="16" xfId="1" applyNumberFormat="1" applyFont="1" applyFill="1" applyBorder="1" applyAlignment="1">
      <alignment horizontal="left" vertical="top" wrapText="1"/>
    </xf>
    <xf numFmtId="0" fontId="5" fillId="0" borderId="2" xfId="8" applyFont="1" applyFill="1" applyBorder="1" applyAlignment="1">
      <alignment horizontal="center" vertical="top"/>
    </xf>
    <xf numFmtId="1" fontId="5" fillId="0" borderId="16" xfId="7" applyNumberFormat="1" applyFont="1" applyFill="1" applyBorder="1" applyAlignment="1">
      <alignment vertical="top"/>
    </xf>
    <xf numFmtId="0" fontId="5" fillId="0" borderId="12" xfId="7" applyNumberFormat="1" applyFont="1" applyFill="1" applyBorder="1" applyAlignment="1">
      <alignment horizontal="left" vertical="center"/>
    </xf>
    <xf numFmtId="3" fontId="5" fillId="0" borderId="2" xfId="1" applyNumberFormat="1" applyFont="1" applyFill="1" applyBorder="1" applyAlignment="1">
      <alignment horizontal="center" vertical="top"/>
    </xf>
    <xf numFmtId="1" fontId="5" fillId="0" borderId="2" xfId="7" applyNumberFormat="1" applyFont="1" applyFill="1" applyBorder="1" applyAlignment="1">
      <alignment vertical="top"/>
    </xf>
    <xf numFmtId="1" fontId="5" fillId="0" borderId="12" xfId="7" applyNumberFormat="1" applyFont="1" applyFill="1" applyBorder="1" applyAlignment="1">
      <alignment vertical="top"/>
    </xf>
    <xf numFmtId="1" fontId="5" fillId="0" borderId="12" xfId="7" applyNumberFormat="1" applyFont="1" applyFill="1" applyBorder="1" applyAlignment="1">
      <alignment horizontal="center" vertical="top"/>
    </xf>
    <xf numFmtId="1" fontId="5" fillId="0" borderId="56" xfId="7" applyNumberFormat="1" applyFont="1" applyFill="1" applyBorder="1" applyAlignment="1">
      <alignment horizontal="center" vertical="top"/>
    </xf>
    <xf numFmtId="1" fontId="5" fillId="0" borderId="12" xfId="7" applyNumberFormat="1" applyFont="1" applyFill="1" applyBorder="1" applyAlignment="1">
      <alignment vertical="top" wrapText="1"/>
    </xf>
    <xf numFmtId="165" fontId="5" fillId="0" borderId="12" xfId="7" applyNumberFormat="1" applyFont="1" applyFill="1" applyBorder="1" applyAlignment="1">
      <alignment horizontal="center" vertical="top"/>
    </xf>
    <xf numFmtId="165" fontId="5" fillId="0" borderId="56" xfId="7" applyNumberFormat="1" applyFont="1" applyFill="1" applyBorder="1" applyAlignment="1">
      <alignment horizontal="center" vertical="top"/>
    </xf>
    <xf numFmtId="165" fontId="5" fillId="0" borderId="45" xfId="7" applyNumberFormat="1" applyFont="1" applyFill="1" applyBorder="1" applyAlignment="1">
      <alignment horizontal="center" vertical="top"/>
    </xf>
    <xf numFmtId="165" fontId="5" fillId="0" borderId="13" xfId="7" applyNumberFormat="1" applyFont="1" applyFill="1" applyBorder="1" applyAlignment="1">
      <alignment horizontal="center" vertical="top"/>
    </xf>
    <xf numFmtId="49" fontId="5" fillId="0" borderId="28" xfId="7" applyNumberFormat="1" applyFont="1" applyFill="1" applyBorder="1" applyAlignment="1">
      <alignment horizontal="left" vertical="center"/>
    </xf>
    <xf numFmtId="3" fontId="5" fillId="0" borderId="60" xfId="1" applyNumberFormat="1" applyFont="1" applyFill="1" applyBorder="1" applyAlignment="1">
      <alignment horizontal="center" vertical="center"/>
    </xf>
    <xf numFmtId="3" fontId="5" fillId="0" borderId="13" xfId="1" applyNumberFormat="1" applyFont="1" applyFill="1" applyBorder="1" applyAlignment="1">
      <alignment horizontal="left" vertical="center" wrapText="1"/>
    </xf>
    <xf numFmtId="165" fontId="5" fillId="0" borderId="57" xfId="7" applyNumberFormat="1" applyFont="1" applyFill="1" applyBorder="1" applyAlignment="1">
      <alignment vertical="top" wrapText="1"/>
    </xf>
    <xf numFmtId="165" fontId="5" fillId="0" borderId="57" xfId="7" applyNumberFormat="1" applyFont="1" applyFill="1" applyBorder="1" applyAlignment="1">
      <alignment horizontal="center" vertical="top"/>
    </xf>
    <xf numFmtId="165" fontId="5" fillId="0" borderId="58" xfId="7" applyNumberFormat="1" applyFont="1" applyFill="1" applyBorder="1" applyAlignment="1">
      <alignment horizontal="center" vertical="center"/>
    </xf>
    <xf numFmtId="165" fontId="5" fillId="0" borderId="2" xfId="7" applyNumberFormat="1" applyFont="1" applyFill="1" applyBorder="1" applyAlignment="1">
      <alignment vertical="top" wrapText="1"/>
    </xf>
    <xf numFmtId="165" fontId="5" fillId="0" borderId="12" xfId="7" applyNumberFormat="1" applyFont="1" applyFill="1" applyBorder="1" applyAlignment="1">
      <alignment vertical="top" wrapText="1"/>
    </xf>
    <xf numFmtId="0" fontId="5" fillId="0" borderId="24" xfId="0" applyFont="1" applyFill="1" applyBorder="1" applyAlignment="1">
      <alignment horizontal="left" vertical="center"/>
    </xf>
    <xf numFmtId="165" fontId="5" fillId="0" borderId="22" xfId="7" applyNumberFormat="1" applyFont="1" applyFill="1" applyBorder="1" applyAlignment="1">
      <alignment vertical="center"/>
    </xf>
    <xf numFmtId="165" fontId="5" fillId="0" borderId="24" xfId="7" applyNumberFormat="1" applyFont="1" applyFill="1" applyBorder="1" applyAlignment="1">
      <alignment vertical="center" wrapText="1"/>
    </xf>
    <xf numFmtId="165" fontId="5" fillId="0" borderId="52" xfId="7" applyNumberFormat="1" applyFont="1" applyFill="1" applyBorder="1" applyAlignment="1">
      <alignment vertical="top" wrapText="1"/>
    </xf>
    <xf numFmtId="1" fontId="5" fillId="0" borderId="52" xfId="7" applyNumberFormat="1" applyFont="1" applyFill="1" applyBorder="1" applyAlignment="1">
      <alignment horizontal="center" vertical="top"/>
    </xf>
    <xf numFmtId="165" fontId="5" fillId="0" borderId="58" xfId="7" applyNumberFormat="1" applyFont="1" applyFill="1" applyBorder="1" applyAlignment="1">
      <alignment horizontal="center" vertical="top"/>
    </xf>
    <xf numFmtId="165" fontId="5" fillId="0" borderId="24" xfId="7" applyNumberFormat="1" applyFont="1" applyFill="1" applyBorder="1" applyAlignment="1">
      <alignment vertical="top" wrapText="1"/>
    </xf>
    <xf numFmtId="1" fontId="5" fillId="0" borderId="24" xfId="7" applyNumberFormat="1" applyFont="1" applyFill="1" applyBorder="1" applyAlignment="1">
      <alignment horizontal="center" vertical="top"/>
    </xf>
    <xf numFmtId="165" fontId="5" fillId="0" borderId="25" xfId="7" applyNumberFormat="1" applyFont="1" applyFill="1" applyBorder="1" applyAlignment="1">
      <alignment horizontal="center" vertical="top"/>
    </xf>
    <xf numFmtId="165" fontId="5" fillId="0" borderId="24" xfId="7" applyNumberFormat="1" applyFont="1" applyFill="1" applyBorder="1" applyAlignment="1">
      <alignment horizontal="center" vertical="top"/>
    </xf>
    <xf numFmtId="165" fontId="5" fillId="0" borderId="24" xfId="7" applyNumberFormat="1" applyFont="1" applyFill="1" applyBorder="1" applyAlignment="1">
      <alignment horizontal="center" vertical="center"/>
    </xf>
    <xf numFmtId="165" fontId="5" fillId="0" borderId="25" xfId="7" applyNumberFormat="1" applyFont="1" applyFill="1" applyBorder="1" applyAlignment="1">
      <alignment horizontal="center" vertical="center"/>
    </xf>
    <xf numFmtId="1" fontId="5" fillId="0" borderId="13" xfId="7" applyNumberFormat="1" applyFont="1" applyFill="1" applyBorder="1" applyAlignment="1">
      <alignment horizontal="center" vertical="top"/>
    </xf>
    <xf numFmtId="1" fontId="5" fillId="0" borderId="55" xfId="7" applyNumberFormat="1" applyFont="1" applyFill="1" applyBorder="1" applyAlignment="1">
      <alignment horizontal="center" vertical="top"/>
    </xf>
    <xf numFmtId="1" fontId="5" fillId="0" borderId="58" xfId="7" applyNumberFormat="1" applyFont="1" applyFill="1" applyBorder="1" applyAlignment="1">
      <alignment horizontal="center" vertical="top"/>
    </xf>
    <xf numFmtId="49" fontId="5" fillId="0" borderId="70" xfId="0" applyNumberFormat="1" applyFont="1" applyFill="1" applyBorder="1" applyAlignment="1">
      <alignment horizontal="left" vertical="center" wrapText="1"/>
    </xf>
    <xf numFmtId="1" fontId="5" fillId="0" borderId="60" xfId="7" applyNumberFormat="1" applyFont="1" applyFill="1" applyBorder="1" applyAlignment="1">
      <alignment horizontal="center" vertical="top"/>
    </xf>
    <xf numFmtId="165" fontId="5" fillId="0" borderId="79" xfId="7" applyNumberFormat="1" applyFont="1" applyFill="1" applyBorder="1" applyAlignment="1">
      <alignment horizontal="center" vertical="center"/>
    </xf>
    <xf numFmtId="1" fontId="5" fillId="0" borderId="70" xfId="7" applyNumberFormat="1" applyFont="1" applyFill="1" applyBorder="1" applyAlignment="1">
      <alignment horizontal="center" vertical="top"/>
    </xf>
    <xf numFmtId="165" fontId="5" fillId="0" borderId="78" xfId="7" applyNumberFormat="1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56" xfId="0" applyFont="1" applyFill="1" applyBorder="1" applyAlignment="1">
      <alignment horizontal="center" vertical="center"/>
    </xf>
    <xf numFmtId="1" fontId="5" fillId="0" borderId="13" xfId="7" applyNumberFormat="1" applyFont="1" applyFill="1" applyBorder="1" applyAlignment="1">
      <alignment vertical="top" wrapText="1"/>
    </xf>
    <xf numFmtId="0" fontId="32" fillId="0" borderId="25" xfId="0" applyFont="1" applyFill="1" applyBorder="1" applyAlignment="1">
      <alignment horizontal="center" vertical="center"/>
    </xf>
    <xf numFmtId="165" fontId="5" fillId="0" borderId="70" xfId="7" applyNumberFormat="1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5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7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5" fillId="0" borderId="78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1" fontId="33" fillId="0" borderId="2" xfId="7" applyNumberFormat="1" applyFont="1" applyFill="1" applyBorder="1" applyAlignment="1">
      <alignment vertical="center" wrapText="1"/>
    </xf>
    <xf numFmtId="0" fontId="33" fillId="0" borderId="2" xfId="0" applyFont="1" applyFill="1" applyBorder="1" applyAlignment="1">
      <alignment horizontal="center" vertical="center"/>
    </xf>
    <xf numFmtId="0" fontId="33" fillId="0" borderId="23" xfId="0" applyFont="1" applyFill="1" applyBorder="1" applyAlignment="1">
      <alignment horizontal="center" vertical="center"/>
    </xf>
    <xf numFmtId="1" fontId="33" fillId="0" borderId="24" xfId="7" applyNumberFormat="1" applyFont="1" applyFill="1" applyBorder="1" applyAlignment="1">
      <alignment vertical="center" wrapText="1"/>
    </xf>
    <xf numFmtId="1" fontId="33" fillId="0" borderId="24" xfId="7" applyNumberFormat="1" applyFont="1" applyFill="1" applyBorder="1" applyAlignment="1">
      <alignment horizontal="center" vertical="center"/>
    </xf>
    <xf numFmtId="1" fontId="33" fillId="0" borderId="25" xfId="7" applyNumberFormat="1" applyFont="1" applyFill="1" applyBorder="1" applyAlignment="1">
      <alignment horizontal="center" vertical="center"/>
    </xf>
    <xf numFmtId="0" fontId="32" fillId="0" borderId="43" xfId="0" applyFont="1" applyFill="1" applyBorder="1" applyAlignment="1">
      <alignment horizontal="center" vertical="center" textRotation="90" wrapText="1"/>
    </xf>
    <xf numFmtId="3" fontId="5" fillId="0" borderId="86" xfId="1" applyNumberFormat="1" applyFont="1" applyFill="1" applyBorder="1" applyAlignment="1">
      <alignment horizontal="left" vertical="center" wrapText="1"/>
    </xf>
    <xf numFmtId="49" fontId="5" fillId="0" borderId="26" xfId="7" applyNumberFormat="1" applyFont="1" applyFill="1" applyBorder="1" applyAlignment="1">
      <alignment vertical="center" wrapText="1"/>
    </xf>
    <xf numFmtId="1" fontId="2" fillId="0" borderId="0" xfId="8" applyNumberFormat="1" applyFont="1" applyFill="1" applyAlignment="1">
      <alignment horizontal="center"/>
    </xf>
    <xf numFmtId="1" fontId="2" fillId="0" borderId="0" xfId="8" applyNumberFormat="1" applyFont="1" applyFill="1" applyBorder="1" applyAlignment="1">
      <alignment horizontal="center"/>
    </xf>
    <xf numFmtId="49" fontId="5" fillId="0" borderId="57" xfId="7" applyNumberFormat="1" applyFont="1" applyFill="1" applyBorder="1" applyAlignment="1">
      <alignment vertical="center"/>
    </xf>
    <xf numFmtId="49" fontId="5" fillId="0" borderId="24" xfId="7" applyNumberFormat="1" applyFont="1" applyFill="1" applyBorder="1" applyAlignment="1">
      <alignment vertical="center"/>
    </xf>
    <xf numFmtId="165" fontId="5" fillId="0" borderId="26" xfId="7" applyNumberFormat="1" applyFont="1" applyFill="1" applyBorder="1" applyAlignment="1">
      <alignment vertical="center"/>
    </xf>
    <xf numFmtId="165" fontId="5" fillId="0" borderId="16" xfId="7" applyNumberFormat="1" applyFont="1" applyFill="1" applyBorder="1" applyAlignment="1">
      <alignment vertical="center"/>
    </xf>
    <xf numFmtId="165" fontId="5" fillId="0" borderId="28" xfId="7" applyNumberFormat="1" applyFont="1" applyFill="1" applyBorder="1" applyAlignment="1">
      <alignment vertical="center" wrapText="1"/>
    </xf>
    <xf numFmtId="49" fontId="5" fillId="0" borderId="13" xfId="7" applyNumberFormat="1" applyFont="1" applyFill="1" applyBorder="1" applyAlignment="1">
      <alignment vertical="center" wrapText="1"/>
    </xf>
    <xf numFmtId="1" fontId="5" fillId="0" borderId="64" xfId="7" applyNumberFormat="1" applyFont="1" applyFill="1" applyBorder="1" applyAlignment="1">
      <alignment vertical="center"/>
    </xf>
    <xf numFmtId="0" fontId="5" fillId="0" borderId="60" xfId="0" applyFont="1" applyFill="1" applyBorder="1" applyAlignment="1">
      <alignment horizontal="left" vertical="center" wrapText="1"/>
    </xf>
    <xf numFmtId="1" fontId="5" fillId="0" borderId="74" xfId="7" applyNumberFormat="1" applyFont="1" applyFill="1" applyBorder="1" applyAlignment="1">
      <alignment vertical="center"/>
    </xf>
    <xf numFmtId="49" fontId="5" fillId="0" borderId="2" xfId="7" applyNumberFormat="1" applyFont="1" applyFill="1" applyBorder="1" applyAlignment="1">
      <alignment vertical="center"/>
    </xf>
    <xf numFmtId="1" fontId="5" fillId="0" borderId="58" xfId="7" applyNumberFormat="1" applyFont="1" applyFill="1" applyBorder="1" applyAlignment="1">
      <alignment vertical="center" wrapText="1"/>
    </xf>
    <xf numFmtId="1" fontId="5" fillId="0" borderId="23" xfId="7" applyNumberFormat="1" applyFont="1" applyFill="1" applyBorder="1" applyAlignment="1">
      <alignment vertical="center" wrapText="1"/>
    </xf>
    <xf numFmtId="1" fontId="5" fillId="0" borderId="25" xfId="7" applyNumberFormat="1" applyFont="1" applyFill="1" applyBorder="1" applyAlignment="1">
      <alignment vertical="center" wrapText="1"/>
    </xf>
    <xf numFmtId="1" fontId="5" fillId="0" borderId="55" xfId="7" applyNumberFormat="1" applyFont="1" applyFill="1" applyBorder="1" applyAlignment="1">
      <alignment vertical="center" wrapText="1"/>
    </xf>
    <xf numFmtId="49" fontId="5" fillId="0" borderId="52" xfId="0" applyNumberFormat="1" applyFont="1" applyFill="1" applyBorder="1" applyAlignment="1">
      <alignment horizontal="left" vertical="center" wrapText="1"/>
    </xf>
    <xf numFmtId="49" fontId="5" fillId="0" borderId="52" xfId="7" applyNumberFormat="1" applyFont="1" applyFill="1" applyBorder="1" applyAlignment="1">
      <alignment vertical="center" wrapText="1"/>
    </xf>
    <xf numFmtId="1" fontId="5" fillId="0" borderId="60" xfId="0" applyNumberFormat="1" applyFont="1" applyFill="1" applyBorder="1" applyAlignment="1">
      <alignment horizontal="left" vertical="center" wrapText="1"/>
    </xf>
    <xf numFmtId="1" fontId="5" fillId="0" borderId="13" xfId="0" applyNumberFormat="1" applyFont="1" applyFill="1" applyBorder="1" applyAlignment="1">
      <alignment horizontal="left" vertical="center"/>
    </xf>
    <xf numFmtId="1" fontId="5" fillId="0" borderId="12" xfId="0" applyNumberFormat="1" applyFont="1" applyFill="1" applyBorder="1" applyAlignment="1">
      <alignment horizontal="left" vertical="center" wrapText="1"/>
    </xf>
    <xf numFmtId="49" fontId="5" fillId="0" borderId="29" xfId="0" applyNumberFormat="1" applyFont="1" applyFill="1" applyBorder="1" applyAlignment="1">
      <alignment horizontal="left" vertical="center"/>
    </xf>
    <xf numFmtId="0" fontId="5" fillId="0" borderId="60" xfId="7" applyNumberFormat="1" applyFont="1" applyFill="1" applyBorder="1" applyAlignment="1">
      <alignment horizontal="right" vertical="center" wrapText="1"/>
    </xf>
    <xf numFmtId="0" fontId="5" fillId="0" borderId="79" xfId="7" applyNumberFormat="1" applyFont="1" applyFill="1" applyBorder="1" applyAlignment="1">
      <alignment horizontal="right" vertical="center" wrapText="1"/>
    </xf>
    <xf numFmtId="1" fontId="5" fillId="0" borderId="79" xfId="0" applyNumberFormat="1" applyFont="1" applyFill="1" applyBorder="1" applyAlignment="1">
      <alignment horizontal="right" vertical="center"/>
    </xf>
    <xf numFmtId="1" fontId="5" fillId="0" borderId="60" xfId="0" applyNumberFormat="1" applyFont="1" applyFill="1" applyBorder="1" applyAlignment="1">
      <alignment horizontal="left" vertical="center"/>
    </xf>
    <xf numFmtId="1" fontId="5" fillId="0" borderId="12" xfId="0" applyNumberFormat="1" applyFont="1" applyFill="1" applyBorder="1" applyAlignment="1">
      <alignment horizontal="left" vertical="center"/>
    </xf>
    <xf numFmtId="1" fontId="5" fillId="0" borderId="56" xfId="0" applyNumberFormat="1" applyFont="1" applyFill="1" applyBorder="1" applyAlignment="1">
      <alignment horizontal="right" vertical="center"/>
    </xf>
    <xf numFmtId="1" fontId="5" fillId="0" borderId="58" xfId="0" applyNumberFormat="1" applyFont="1" applyFill="1" applyBorder="1" applyAlignment="1">
      <alignment horizontal="right" vertical="center"/>
    </xf>
    <xf numFmtId="1" fontId="5" fillId="0" borderId="23" xfId="0" applyNumberFormat="1" applyFont="1" applyFill="1" applyBorder="1" applyAlignment="1">
      <alignment horizontal="right" vertical="center"/>
    </xf>
    <xf numFmtId="0" fontId="5" fillId="0" borderId="60" xfId="0" applyFont="1" applyFill="1" applyBorder="1" applyAlignment="1">
      <alignment horizontal="center" vertical="center"/>
    </xf>
    <xf numFmtId="165" fontId="5" fillId="0" borderId="0" xfId="7" applyNumberFormat="1" applyFont="1" applyFill="1" applyBorder="1" applyAlignment="1">
      <alignment vertical="center"/>
    </xf>
    <xf numFmtId="165" fontId="5" fillId="0" borderId="1" xfId="7" applyNumberFormat="1" applyFont="1" applyFill="1" applyBorder="1" applyAlignment="1">
      <alignment vertical="center"/>
    </xf>
    <xf numFmtId="165" fontId="5" fillId="0" borderId="13" xfId="0" applyNumberFormat="1" applyFont="1" applyFill="1" applyBorder="1" applyAlignment="1">
      <alignment horizontal="left" vertical="center" wrapText="1"/>
    </xf>
    <xf numFmtId="165" fontId="5" fillId="0" borderId="2" xfId="0" applyNumberFormat="1" applyFont="1" applyFill="1" applyBorder="1" applyAlignment="1">
      <alignment horizontal="left" vertical="center" wrapText="1"/>
    </xf>
    <xf numFmtId="165" fontId="5" fillId="0" borderId="24" xfId="0" applyNumberFormat="1" applyFont="1" applyFill="1" applyBorder="1" applyAlignment="1">
      <alignment horizontal="left" vertical="center" wrapText="1"/>
    </xf>
    <xf numFmtId="0" fontId="5" fillId="0" borderId="13" xfId="7" applyNumberFormat="1" applyFont="1" applyFill="1" applyBorder="1" applyAlignment="1">
      <alignment horizontal="right" vertical="center" wrapText="1"/>
    </xf>
    <xf numFmtId="0" fontId="5" fillId="0" borderId="55" xfId="7" applyNumberFormat="1" applyFont="1" applyFill="1" applyBorder="1" applyAlignment="1">
      <alignment horizontal="right" vertical="center" wrapText="1"/>
    </xf>
    <xf numFmtId="165" fontId="5" fillId="0" borderId="15" xfId="7" applyNumberFormat="1" applyFont="1" applyFill="1" applyBorder="1" applyAlignment="1">
      <alignment vertical="center"/>
    </xf>
    <xf numFmtId="165" fontId="5" fillId="0" borderId="61" xfId="7" applyNumberFormat="1" applyFont="1" applyFill="1" applyBorder="1" applyAlignment="1">
      <alignment vertical="center"/>
    </xf>
    <xf numFmtId="0" fontId="5" fillId="0" borderId="70" xfId="7" applyNumberFormat="1" applyFont="1" applyFill="1" applyBorder="1" applyAlignment="1">
      <alignment horizontal="right" vertical="center" wrapText="1"/>
    </xf>
    <xf numFmtId="0" fontId="5" fillId="0" borderId="78" xfId="7" applyNumberFormat="1" applyFont="1" applyFill="1" applyBorder="1" applyAlignment="1">
      <alignment horizontal="right" vertical="center" wrapText="1"/>
    </xf>
    <xf numFmtId="9" fontId="5" fillId="0" borderId="60" xfId="10" applyFont="1" applyFill="1" applyBorder="1" applyAlignment="1">
      <alignment vertical="center"/>
    </xf>
    <xf numFmtId="9" fontId="5" fillId="0" borderId="79" xfId="10" applyFont="1" applyFill="1" applyBorder="1" applyAlignment="1">
      <alignment vertical="center"/>
    </xf>
    <xf numFmtId="49" fontId="5" fillId="0" borderId="0" xfId="7" applyNumberFormat="1" applyFont="1" applyFill="1" applyBorder="1" applyAlignment="1">
      <alignment vertical="center"/>
    </xf>
    <xf numFmtId="49" fontId="5" fillId="0" borderId="43" xfId="7" applyNumberFormat="1" applyFont="1" applyFill="1" applyBorder="1" applyAlignment="1">
      <alignment vertical="center"/>
    </xf>
    <xf numFmtId="49" fontId="5" fillId="0" borderId="44" xfId="7" applyNumberFormat="1" applyFont="1" applyFill="1" applyBorder="1" applyAlignment="1">
      <alignment vertical="center"/>
    </xf>
    <xf numFmtId="49" fontId="5" fillId="0" borderId="72" xfId="7" applyNumberFormat="1" applyFont="1" applyFill="1" applyBorder="1" applyAlignment="1">
      <alignment vertical="center"/>
    </xf>
    <xf numFmtId="49" fontId="5" fillId="0" borderId="13" xfId="7" applyNumberFormat="1" applyFont="1" applyFill="1" applyBorder="1" applyAlignment="1">
      <alignment vertical="center"/>
    </xf>
    <xf numFmtId="49" fontId="5" fillId="0" borderId="85" xfId="7" applyNumberFormat="1" applyFont="1" applyFill="1" applyBorder="1" applyAlignment="1">
      <alignment vertical="center"/>
    </xf>
    <xf numFmtId="9" fontId="5" fillId="0" borderId="52" xfId="10" applyFont="1" applyFill="1" applyBorder="1" applyAlignment="1">
      <alignment vertical="center"/>
    </xf>
    <xf numFmtId="9" fontId="5" fillId="0" borderId="45" xfId="10" applyFont="1" applyFill="1" applyBorder="1" applyAlignment="1">
      <alignment vertical="center"/>
    </xf>
    <xf numFmtId="1" fontId="15" fillId="0" borderId="60" xfId="7" applyNumberFormat="1" applyFont="1" applyFill="1" applyBorder="1"/>
    <xf numFmtId="1" fontId="15" fillId="0" borderId="79" xfId="7" applyNumberFormat="1" applyFont="1" applyFill="1" applyBorder="1"/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vertical="top" wrapText="1"/>
    </xf>
    <xf numFmtId="0" fontId="0" fillId="0" borderId="0" xfId="0" applyFill="1"/>
    <xf numFmtId="0" fontId="2" fillId="0" borderId="2" xfId="0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>
      <alignment horizontal="right" wrapText="1"/>
    </xf>
    <xf numFmtId="49" fontId="4" fillId="0" borderId="2" xfId="7" applyNumberFormat="1" applyFont="1" applyFill="1" applyBorder="1" applyAlignment="1">
      <alignment horizontal="left" wrapText="1"/>
    </xf>
    <xf numFmtId="165" fontId="0" fillId="0" borderId="0" xfId="0" applyNumberFormat="1" applyFill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wrapText="1"/>
    </xf>
    <xf numFmtId="0" fontId="17" fillId="0" borderId="0" xfId="0" applyFont="1" applyFill="1"/>
    <xf numFmtId="0" fontId="2" fillId="0" borderId="17" xfId="0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vertical="center" wrapText="1"/>
    </xf>
    <xf numFmtId="10" fontId="0" fillId="0" borderId="20" xfId="10" applyNumberFormat="1" applyFont="1" applyFill="1" applyBorder="1"/>
    <xf numFmtId="0" fontId="2" fillId="0" borderId="17" xfId="0" applyFont="1" applyFill="1" applyBorder="1" applyAlignment="1">
      <alignment vertical="center" wrapText="1"/>
    </xf>
    <xf numFmtId="1" fontId="0" fillId="0" borderId="0" xfId="0" applyNumberFormat="1" applyFill="1"/>
    <xf numFmtId="49" fontId="13" fillId="0" borderId="50" xfId="7" applyNumberFormat="1" applyFont="1" applyFill="1" applyBorder="1" applyAlignment="1">
      <alignment horizontal="left" wrapText="1"/>
    </xf>
    <xf numFmtId="10" fontId="0" fillId="0" borderId="18" xfId="10" applyNumberFormat="1" applyFont="1" applyFill="1" applyBorder="1"/>
    <xf numFmtId="49" fontId="13" fillId="0" borderId="51" xfId="7" applyNumberFormat="1" applyFont="1" applyFill="1" applyBorder="1" applyAlignment="1">
      <alignment horizontal="left" wrapText="1"/>
    </xf>
    <xf numFmtId="10" fontId="0" fillId="0" borderId="19" xfId="10" applyNumberFormat="1" applyFont="1" applyFill="1" applyBorder="1"/>
    <xf numFmtId="10" fontId="1" fillId="0" borderId="18" xfId="10" applyNumberFormat="1" applyFont="1" applyFill="1" applyBorder="1" applyAlignment="1">
      <alignment horizontal="right"/>
    </xf>
    <xf numFmtId="165" fontId="5" fillId="0" borderId="2" xfId="7" applyNumberFormat="1" applyFont="1" applyFill="1" applyBorder="1" applyAlignment="1">
      <alignment horizontal="center" vertical="top"/>
    </xf>
    <xf numFmtId="49" fontId="5" fillId="0" borderId="70" xfId="7" applyNumberFormat="1" applyFont="1" applyFill="1" applyBorder="1" applyAlignment="1">
      <alignment horizontal="center" vertical="center"/>
    </xf>
    <xf numFmtId="49" fontId="5" fillId="0" borderId="60" xfId="7" applyNumberFormat="1" applyFont="1" applyFill="1" applyBorder="1" applyAlignment="1">
      <alignment horizontal="center" vertical="center"/>
    </xf>
    <xf numFmtId="49" fontId="5" fillId="0" borderId="60" xfId="7" applyNumberFormat="1" applyFont="1" applyFill="1" applyBorder="1" applyAlignment="1">
      <alignment horizontal="left" vertical="center"/>
    </xf>
    <xf numFmtId="1" fontId="5" fillId="0" borderId="60" xfId="7" applyNumberFormat="1" applyFont="1" applyFill="1" applyBorder="1" applyAlignment="1">
      <alignment horizontal="right" vertical="center"/>
    </xf>
    <xf numFmtId="1" fontId="5" fillId="0" borderId="79" xfId="7" applyNumberFormat="1" applyFont="1" applyFill="1" applyBorder="1" applyAlignment="1">
      <alignment horizontal="right" vertical="center"/>
    </xf>
    <xf numFmtId="165" fontId="5" fillId="0" borderId="12" xfId="7" applyNumberFormat="1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horizontal="right" vertical="center"/>
    </xf>
    <xf numFmtId="49" fontId="5" fillId="0" borderId="70" xfId="0" applyNumberFormat="1" applyFont="1" applyFill="1" applyBorder="1" applyAlignment="1">
      <alignment vertical="center"/>
    </xf>
    <xf numFmtId="165" fontId="5" fillId="0" borderId="60" xfId="7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165" fontId="5" fillId="0" borderId="13" xfId="7" applyNumberFormat="1" applyFont="1" applyFill="1" applyBorder="1" applyAlignment="1">
      <alignment vertical="center"/>
    </xf>
    <xf numFmtId="1" fontId="5" fillId="0" borderId="60" xfId="7" applyNumberFormat="1" applyFont="1" applyFill="1" applyBorder="1" applyAlignment="1">
      <alignment horizontal="center" vertical="top"/>
    </xf>
    <xf numFmtId="49" fontId="5" fillId="0" borderId="57" xfId="0" applyNumberFormat="1" applyFont="1" applyFill="1" applyBorder="1" applyAlignment="1">
      <alignment horizontal="left" vertical="top" wrapText="1"/>
    </xf>
    <xf numFmtId="49" fontId="5" fillId="0" borderId="93" xfId="7" applyNumberFormat="1" applyFont="1" applyFill="1" applyBorder="1" applyAlignment="1">
      <alignment horizontal="center" vertical="top"/>
    </xf>
    <xf numFmtId="165" fontId="5" fillId="0" borderId="13" xfId="7" applyNumberFormat="1" applyFont="1" applyFill="1" applyBorder="1" applyAlignment="1">
      <alignment horizontal="right" vertical="top"/>
    </xf>
    <xf numFmtId="165" fontId="5" fillId="0" borderId="60" xfId="7" applyNumberFormat="1" applyFont="1" applyFill="1" applyBorder="1" applyAlignment="1">
      <alignment vertical="top" wrapText="1"/>
    </xf>
    <xf numFmtId="1" fontId="5" fillId="0" borderId="79" xfId="7" applyNumberFormat="1" applyFont="1" applyFill="1" applyBorder="1" applyAlignment="1">
      <alignment horizontal="center" vertical="top"/>
    </xf>
    <xf numFmtId="165" fontId="5" fillId="0" borderId="13" xfId="7" applyNumberFormat="1" applyFont="1" applyFill="1" applyBorder="1" applyAlignment="1">
      <alignment vertical="top" wrapText="1"/>
    </xf>
    <xf numFmtId="165" fontId="5" fillId="0" borderId="55" xfId="7" applyNumberFormat="1" applyFont="1" applyFill="1" applyBorder="1" applyAlignment="1">
      <alignment horizontal="center" vertical="top"/>
    </xf>
    <xf numFmtId="0" fontId="5" fillId="0" borderId="56" xfId="0" applyFont="1" applyFill="1" applyBorder="1" applyAlignment="1">
      <alignment horizontal="right" vertical="center"/>
    </xf>
    <xf numFmtId="1" fontId="5" fillId="0" borderId="52" xfId="7" applyNumberFormat="1" applyFont="1" applyFill="1" applyBorder="1" applyAlignment="1">
      <alignment vertical="top"/>
    </xf>
    <xf numFmtId="1" fontId="5" fillId="0" borderId="52" xfId="7" applyNumberFormat="1" applyFont="1" applyFill="1" applyBorder="1" applyAlignment="1">
      <alignment horizontal="right" vertical="top"/>
    </xf>
    <xf numFmtId="1" fontId="5" fillId="0" borderId="45" xfId="7" applyNumberFormat="1" applyFont="1" applyFill="1" applyBorder="1" applyAlignment="1">
      <alignment horizontal="right" vertical="top"/>
    </xf>
    <xf numFmtId="1" fontId="33" fillId="0" borderId="13" xfId="7" applyNumberFormat="1" applyFont="1" applyFill="1" applyBorder="1" applyAlignment="1">
      <alignment vertical="center" wrapText="1"/>
    </xf>
    <xf numFmtId="0" fontId="33" fillId="0" borderId="13" xfId="0" applyFont="1" applyFill="1" applyBorder="1" applyAlignment="1">
      <alignment horizontal="center" vertical="center"/>
    </xf>
    <xf numFmtId="1" fontId="33" fillId="0" borderId="13" xfId="7" applyNumberFormat="1" applyFont="1" applyFill="1" applyBorder="1" applyAlignment="1">
      <alignment horizontal="center" vertical="center"/>
    </xf>
    <xf numFmtId="1" fontId="33" fillId="0" borderId="55" xfId="7" applyNumberFormat="1" applyFont="1" applyFill="1" applyBorder="1" applyAlignment="1">
      <alignment horizontal="center" vertical="center"/>
    </xf>
    <xf numFmtId="165" fontId="5" fillId="0" borderId="57" xfId="7" applyNumberFormat="1" applyFont="1" applyFill="1" applyBorder="1" applyAlignment="1">
      <alignment horizontal="right" vertical="center"/>
    </xf>
    <xf numFmtId="165" fontId="5" fillId="0" borderId="70" xfId="7" applyNumberFormat="1" applyFont="1" applyFill="1" applyBorder="1" applyAlignment="1">
      <alignment horizontal="right" vertical="center"/>
    </xf>
    <xf numFmtId="165" fontId="5" fillId="0" borderId="2" xfId="7" applyNumberFormat="1" applyFont="1" applyFill="1" applyBorder="1" applyAlignment="1">
      <alignment horizontal="right" vertical="center"/>
    </xf>
    <xf numFmtId="165" fontId="5" fillId="0" borderId="13" xfId="7" applyNumberFormat="1" applyFont="1" applyFill="1" applyBorder="1" applyAlignment="1">
      <alignment horizontal="right" vertical="center"/>
    </xf>
    <xf numFmtId="165" fontId="5" fillId="0" borderId="12" xfId="7" applyNumberFormat="1" applyFont="1" applyFill="1" applyBorder="1" applyAlignment="1">
      <alignment horizontal="right" vertical="center"/>
    </xf>
    <xf numFmtId="49" fontId="5" fillId="0" borderId="2" xfId="7" applyNumberFormat="1" applyFont="1" applyFill="1" applyBorder="1" applyAlignment="1">
      <alignment horizontal="left" vertical="center" wrapText="1"/>
    </xf>
    <xf numFmtId="165" fontId="5" fillId="0" borderId="24" xfId="7" applyNumberFormat="1" applyFont="1" applyFill="1" applyBorder="1" applyAlignment="1">
      <alignment horizontal="right" vertical="center"/>
    </xf>
    <xf numFmtId="165" fontId="5" fillId="0" borderId="57" xfId="7" applyNumberFormat="1" applyFont="1" applyFill="1" applyBorder="1" applyAlignment="1">
      <alignment vertical="center"/>
    </xf>
    <xf numFmtId="165" fontId="5" fillId="0" borderId="12" xfId="7" applyNumberFormat="1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horizontal="right" vertical="center"/>
    </xf>
    <xf numFmtId="165" fontId="5" fillId="0" borderId="24" xfId="0" applyNumberFormat="1" applyFont="1" applyFill="1" applyBorder="1" applyAlignment="1">
      <alignment horizontal="right" vertical="center"/>
    </xf>
    <xf numFmtId="165" fontId="5" fillId="0" borderId="60" xfId="7" applyNumberFormat="1" applyFont="1" applyFill="1" applyBorder="1" applyAlignment="1">
      <alignment horizontal="right" vertical="center"/>
    </xf>
    <xf numFmtId="0" fontId="5" fillId="0" borderId="70" xfId="7" applyNumberFormat="1" applyFont="1" applyFill="1" applyBorder="1" applyAlignment="1">
      <alignment horizontal="right" vertical="center"/>
    </xf>
    <xf numFmtId="165" fontId="5" fillId="0" borderId="60" xfId="7" applyNumberFormat="1" applyFont="1" applyFill="1" applyBorder="1" applyAlignment="1">
      <alignment vertical="center"/>
    </xf>
    <xf numFmtId="165" fontId="5" fillId="0" borderId="22" xfId="7" applyNumberFormat="1" applyFont="1" applyFill="1" applyBorder="1" applyAlignment="1">
      <alignment horizontal="right" vertical="center"/>
    </xf>
    <xf numFmtId="165" fontId="5" fillId="0" borderId="60" xfId="0" applyNumberFormat="1" applyFont="1" applyFill="1" applyBorder="1" applyAlignment="1">
      <alignment horizontal="right" vertical="center"/>
    </xf>
    <xf numFmtId="165" fontId="5" fillId="0" borderId="13" xfId="7" applyNumberFormat="1" applyFont="1" applyFill="1" applyBorder="1" applyAlignment="1">
      <alignment vertical="center"/>
    </xf>
    <xf numFmtId="0" fontId="5" fillId="0" borderId="24" xfId="0" applyFont="1" applyFill="1" applyBorder="1" applyAlignment="1">
      <alignment horizontal="right" vertical="center"/>
    </xf>
    <xf numFmtId="165" fontId="5" fillId="0" borderId="24" xfId="7" applyNumberFormat="1" applyFont="1" applyFill="1" applyBorder="1" applyAlignment="1">
      <alignment vertical="center"/>
    </xf>
    <xf numFmtId="165" fontId="5" fillId="0" borderId="2" xfId="7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right" vertical="center"/>
    </xf>
    <xf numFmtId="0" fontId="5" fillId="0" borderId="31" xfId="0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1" fontId="5" fillId="0" borderId="12" xfId="7" applyNumberFormat="1" applyFont="1" applyFill="1" applyBorder="1" applyAlignment="1">
      <alignment horizontal="right" vertical="center"/>
    </xf>
    <xf numFmtId="165" fontId="5" fillId="0" borderId="57" xfId="7" applyNumberFormat="1" applyFont="1" applyFill="1" applyBorder="1" applyAlignment="1">
      <alignment vertical="center"/>
    </xf>
    <xf numFmtId="1" fontId="5" fillId="0" borderId="57" xfId="7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vertical="center"/>
    </xf>
    <xf numFmtId="165" fontId="5" fillId="0" borderId="24" xfId="7" applyNumberFormat="1" applyFont="1" applyFill="1" applyBorder="1" applyAlignment="1">
      <alignment vertical="center"/>
    </xf>
    <xf numFmtId="165" fontId="5" fillId="0" borderId="87" xfId="7" applyNumberFormat="1" applyFont="1" applyFill="1" applyBorder="1" applyAlignment="1">
      <alignment horizontal="right" vertical="top"/>
    </xf>
    <xf numFmtId="165" fontId="5" fillId="0" borderId="8" xfId="7" applyNumberFormat="1" applyFont="1" applyFill="1" applyBorder="1" applyAlignment="1">
      <alignment horizontal="right" vertical="center"/>
    </xf>
    <xf numFmtId="165" fontId="5" fillId="0" borderId="48" xfId="7" applyNumberFormat="1" applyFont="1" applyFill="1" applyBorder="1" applyAlignment="1">
      <alignment horizontal="right" vertical="center"/>
    </xf>
    <xf numFmtId="165" fontId="5" fillId="0" borderId="49" xfId="7" applyNumberFormat="1" applyFont="1" applyFill="1" applyBorder="1" applyAlignment="1">
      <alignment horizontal="right" vertical="center"/>
    </xf>
    <xf numFmtId="165" fontId="5" fillId="0" borderId="12" xfId="0" applyNumberFormat="1" applyFont="1" applyFill="1" applyBorder="1" applyAlignment="1">
      <alignment vertical="center"/>
    </xf>
    <xf numFmtId="49" fontId="5" fillId="0" borderId="57" xfId="7" applyNumberFormat="1" applyFont="1" applyFill="1" applyBorder="1" applyAlignment="1">
      <alignment horizontal="center" vertical="center"/>
    </xf>
    <xf numFmtId="165" fontId="5" fillId="0" borderId="57" xfId="7" applyNumberFormat="1" applyFont="1" applyFill="1" applyBorder="1" applyAlignment="1">
      <alignment horizontal="right" vertical="center"/>
    </xf>
    <xf numFmtId="49" fontId="5" fillId="0" borderId="57" xfId="7" applyNumberFormat="1" applyFont="1" applyFill="1" applyBorder="1" applyAlignment="1">
      <alignment horizontal="left" vertical="center"/>
    </xf>
    <xf numFmtId="0" fontId="0" fillId="0" borderId="2" xfId="0" applyFill="1" applyBorder="1" applyAlignment="1">
      <alignment horizontal="right" vertical="center"/>
    </xf>
    <xf numFmtId="165" fontId="5" fillId="0" borderId="70" xfId="7" applyNumberFormat="1" applyFont="1" applyFill="1" applyBorder="1" applyAlignment="1">
      <alignment horizontal="right" vertical="center"/>
    </xf>
    <xf numFmtId="165" fontId="5" fillId="0" borderId="2" xfId="7" applyNumberFormat="1" applyFont="1" applyFill="1" applyBorder="1" applyAlignment="1">
      <alignment horizontal="right" vertical="center"/>
    </xf>
    <xf numFmtId="165" fontId="5" fillId="0" borderId="13" xfId="7" applyNumberFormat="1" applyFont="1" applyFill="1" applyBorder="1" applyAlignment="1">
      <alignment horizontal="right" vertical="center"/>
    </xf>
    <xf numFmtId="165" fontId="5" fillId="0" borderId="12" xfId="7" applyNumberFormat="1" applyFont="1" applyFill="1" applyBorder="1" applyAlignment="1">
      <alignment horizontal="right" vertical="center"/>
    </xf>
    <xf numFmtId="49" fontId="5" fillId="0" borderId="60" xfId="7" applyNumberFormat="1" applyFont="1" applyFill="1" applyBorder="1" applyAlignment="1">
      <alignment horizontal="center" vertical="center"/>
    </xf>
    <xf numFmtId="49" fontId="5" fillId="0" borderId="13" xfId="7" applyNumberFormat="1" applyFont="1" applyFill="1" applyBorder="1" applyAlignment="1">
      <alignment horizontal="center" vertical="center"/>
    </xf>
    <xf numFmtId="165" fontId="5" fillId="0" borderId="13" xfId="7" applyNumberFormat="1" applyFont="1" applyFill="1" applyBorder="1" applyAlignment="1">
      <alignment horizontal="center" vertical="center"/>
    </xf>
    <xf numFmtId="49" fontId="5" fillId="0" borderId="2" xfId="7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5" fillId="0" borderId="78" xfId="7" applyNumberFormat="1" applyFont="1" applyFill="1" applyBorder="1" applyAlignment="1">
      <alignment horizontal="center" vertical="center"/>
    </xf>
    <xf numFmtId="1" fontId="5" fillId="0" borderId="55" xfId="7" applyNumberFormat="1" applyFont="1" applyFill="1" applyBorder="1" applyAlignment="1">
      <alignment horizontal="center" vertical="center"/>
    </xf>
    <xf numFmtId="1" fontId="5" fillId="0" borderId="56" xfId="7" applyNumberFormat="1" applyFont="1" applyFill="1" applyBorder="1" applyAlignment="1">
      <alignment horizontal="center" vertical="center"/>
    </xf>
    <xf numFmtId="1" fontId="5" fillId="0" borderId="91" xfId="7" applyNumberFormat="1" applyFont="1" applyFill="1" applyBorder="1" applyAlignment="1">
      <alignment horizontal="center" vertical="center"/>
    </xf>
    <xf numFmtId="49" fontId="5" fillId="0" borderId="24" xfId="7" applyNumberFormat="1" applyFont="1" applyFill="1" applyBorder="1" applyAlignment="1">
      <alignment horizontal="left" vertical="center"/>
    </xf>
    <xf numFmtId="165" fontId="5" fillId="0" borderId="70" xfId="7" applyNumberFormat="1" applyFont="1" applyFill="1" applyBorder="1" applyAlignment="1">
      <alignment vertical="center"/>
    </xf>
    <xf numFmtId="1" fontId="5" fillId="0" borderId="70" xfId="7" applyNumberFormat="1" applyFont="1" applyFill="1" applyBorder="1" applyAlignment="1">
      <alignment horizontal="left" vertical="center" wrapText="1"/>
    </xf>
    <xf numFmtId="165" fontId="5" fillId="0" borderId="24" xfId="7" applyNumberFormat="1" applyFont="1" applyFill="1" applyBorder="1" applyAlignment="1">
      <alignment horizontal="right" vertical="center"/>
    </xf>
    <xf numFmtId="49" fontId="5" fillId="0" borderId="24" xfId="7" applyNumberFormat="1" applyFont="1" applyFill="1" applyBorder="1" applyAlignment="1">
      <alignment horizontal="center" vertical="center"/>
    </xf>
    <xf numFmtId="1" fontId="5" fillId="0" borderId="60" xfId="7" applyNumberFormat="1" applyFont="1" applyFill="1" applyBorder="1" applyAlignment="1">
      <alignment horizontal="left" vertical="center" wrapText="1"/>
    </xf>
    <xf numFmtId="165" fontId="5" fillId="0" borderId="57" xfId="7" applyNumberFormat="1" applyFont="1" applyFill="1" applyBorder="1" applyAlignment="1">
      <alignment vertical="center"/>
    </xf>
    <xf numFmtId="49" fontId="5" fillId="0" borderId="26" xfId="7" applyNumberFormat="1" applyFont="1" applyFill="1" applyBorder="1" applyAlignment="1">
      <alignment horizontal="left" vertical="center"/>
    </xf>
    <xf numFmtId="49" fontId="5" fillId="0" borderId="12" xfId="7" applyNumberFormat="1" applyFont="1" applyFill="1" applyBorder="1" applyAlignment="1">
      <alignment horizontal="center" vertical="center"/>
    </xf>
    <xf numFmtId="165" fontId="5" fillId="0" borderId="12" xfId="7" applyNumberFormat="1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horizontal="right" vertical="center"/>
    </xf>
    <xf numFmtId="165" fontId="5" fillId="0" borderId="24" xfId="0" applyNumberFormat="1" applyFont="1" applyFill="1" applyBorder="1" applyAlignment="1">
      <alignment horizontal="right" vertical="center"/>
    </xf>
    <xf numFmtId="1" fontId="5" fillId="0" borderId="70" xfId="7" applyNumberFormat="1" applyFont="1" applyFill="1" applyBorder="1" applyAlignment="1">
      <alignment vertical="center" wrapText="1"/>
    </xf>
    <xf numFmtId="165" fontId="5" fillId="0" borderId="60" xfId="7" applyNumberFormat="1" applyFont="1" applyFill="1" applyBorder="1" applyAlignment="1">
      <alignment horizontal="right" vertical="center"/>
    </xf>
    <xf numFmtId="0" fontId="5" fillId="0" borderId="70" xfId="7" applyNumberFormat="1" applyFont="1" applyFill="1" applyBorder="1" applyAlignment="1">
      <alignment horizontal="right" vertical="center"/>
    </xf>
    <xf numFmtId="49" fontId="5" fillId="0" borderId="60" xfId="7" applyNumberFormat="1" applyFont="1" applyFill="1" applyBorder="1" applyAlignment="1">
      <alignment horizontal="left" vertical="center" wrapText="1"/>
    </xf>
    <xf numFmtId="1" fontId="5" fillId="0" borderId="60" xfId="7" applyNumberFormat="1" applyFont="1" applyFill="1" applyBorder="1" applyAlignment="1">
      <alignment vertical="center" wrapText="1"/>
    </xf>
    <xf numFmtId="1" fontId="5" fillId="0" borderId="60" xfId="7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1" fontId="5" fillId="0" borderId="22" xfId="7" applyNumberFormat="1" applyFont="1" applyFill="1" applyBorder="1" applyAlignment="1">
      <alignment vertical="center" wrapText="1"/>
    </xf>
    <xf numFmtId="1" fontId="5" fillId="0" borderId="70" xfId="7" applyNumberFormat="1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left" vertical="center" wrapText="1"/>
    </xf>
    <xf numFmtId="165" fontId="5" fillId="0" borderId="22" xfId="7" applyNumberFormat="1" applyFont="1" applyFill="1" applyBorder="1" applyAlignment="1">
      <alignment horizontal="right" vertical="center"/>
    </xf>
    <xf numFmtId="165" fontId="5" fillId="0" borderId="60" xfId="0" applyNumberFormat="1" applyFont="1" applyFill="1" applyBorder="1" applyAlignment="1">
      <alignment horizontal="right" vertical="center"/>
    </xf>
    <xf numFmtId="165" fontId="5" fillId="0" borderId="13" xfId="7" applyNumberFormat="1" applyFont="1" applyFill="1" applyBorder="1" applyAlignment="1">
      <alignment vertical="center"/>
    </xf>
    <xf numFmtId="49" fontId="5" fillId="0" borderId="13" xfId="7" applyNumberFormat="1" applyFont="1" applyFill="1" applyBorder="1" applyAlignment="1">
      <alignment vertical="center" wrapText="1"/>
    </xf>
    <xf numFmtId="49" fontId="5" fillId="0" borderId="12" xfId="7" applyNumberFormat="1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center" vertical="center"/>
    </xf>
    <xf numFmtId="165" fontId="5" fillId="0" borderId="2" xfId="7" applyNumberFormat="1" applyFont="1" applyFill="1" applyBorder="1" applyAlignment="1">
      <alignment horizontal="center" vertical="top"/>
    </xf>
    <xf numFmtId="1" fontId="5" fillId="0" borderId="12" xfId="7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center"/>
    </xf>
    <xf numFmtId="165" fontId="5" fillId="0" borderId="22" xfId="7" applyNumberFormat="1" applyFont="1" applyFill="1" applyBorder="1" applyAlignment="1">
      <alignment vertical="center"/>
    </xf>
    <xf numFmtId="165" fontId="5" fillId="0" borderId="2" xfId="7" applyNumberFormat="1" applyFont="1" applyFill="1" applyBorder="1" applyAlignment="1">
      <alignment vertical="center"/>
    </xf>
    <xf numFmtId="0" fontId="5" fillId="0" borderId="79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right" vertical="center"/>
    </xf>
    <xf numFmtId="165" fontId="5" fillId="0" borderId="24" xfId="7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3" fontId="5" fillId="0" borderId="70" xfId="1" applyNumberFormat="1" applyFont="1" applyFill="1" applyBorder="1" applyAlignment="1">
      <alignment horizontal="left" vertical="center" wrapText="1"/>
    </xf>
    <xf numFmtId="1" fontId="2" fillId="0" borderId="23" xfId="0" applyNumberFormat="1" applyFont="1" applyFill="1" applyBorder="1" applyAlignment="1">
      <alignment vertical="center" wrapText="1"/>
    </xf>
    <xf numFmtId="1" fontId="2" fillId="0" borderId="24" xfId="0" applyNumberFormat="1" applyFont="1" applyFill="1" applyBorder="1" applyAlignment="1">
      <alignment vertical="center" wrapText="1"/>
    </xf>
    <xf numFmtId="1" fontId="2" fillId="0" borderId="25" xfId="0" applyNumberFormat="1" applyFont="1" applyFill="1" applyBorder="1" applyAlignment="1">
      <alignment vertical="center" wrapText="1"/>
    </xf>
    <xf numFmtId="1" fontId="5" fillId="0" borderId="58" xfId="7" applyNumberFormat="1" applyFont="1" applyFill="1" applyBorder="1" applyAlignment="1">
      <alignment horizontal="right"/>
    </xf>
    <xf numFmtId="165" fontId="4" fillId="0" borderId="68" xfId="0" applyNumberFormat="1" applyFont="1" applyFill="1" applyBorder="1" applyAlignment="1">
      <alignment horizontal="right" vertical="top"/>
    </xf>
    <xf numFmtId="165" fontId="4" fillId="0" borderId="70" xfId="0" applyNumberFormat="1" applyFont="1" applyFill="1" applyBorder="1" applyAlignment="1">
      <alignment horizontal="right" vertical="top"/>
    </xf>
    <xf numFmtId="0" fontId="0" fillId="0" borderId="23" xfId="0" applyFill="1" applyBorder="1" applyAlignment="1">
      <alignment horizontal="right" vertical="center"/>
    </xf>
    <xf numFmtId="165" fontId="4" fillId="0" borderId="60" xfId="7" applyNumberFormat="1" applyFont="1" applyFill="1" applyBorder="1" applyAlignment="1">
      <alignment horizontal="right" vertical="center"/>
    </xf>
    <xf numFmtId="165" fontId="5" fillId="0" borderId="52" xfId="7" applyNumberFormat="1" applyFont="1" applyFill="1" applyBorder="1" applyAlignment="1">
      <alignment horizontal="center" vertical="center"/>
    </xf>
    <xf numFmtId="165" fontId="5" fillId="0" borderId="45" xfId="7" applyNumberFormat="1" applyFont="1" applyFill="1" applyBorder="1" applyAlignment="1">
      <alignment horizontal="center" vertical="center"/>
    </xf>
    <xf numFmtId="165" fontId="4" fillId="0" borderId="40" xfId="7" applyNumberFormat="1" applyFont="1" applyFill="1" applyBorder="1" applyAlignment="1">
      <alignment horizontal="right" vertical="center"/>
    </xf>
    <xf numFmtId="165" fontId="4" fillId="0" borderId="54" xfId="7" applyNumberFormat="1" applyFont="1" applyFill="1" applyBorder="1" applyAlignment="1">
      <alignment vertical="center"/>
    </xf>
    <xf numFmtId="165" fontId="5" fillId="0" borderId="70" xfId="7" applyNumberFormat="1" applyFont="1" applyFill="1" applyBorder="1" applyAlignment="1">
      <alignment horizontal="center" vertical="center" wrapText="1"/>
    </xf>
    <xf numFmtId="165" fontId="5" fillId="0" borderId="78" xfId="7" applyNumberFormat="1" applyFont="1" applyFill="1" applyBorder="1" applyAlignment="1">
      <alignment horizontal="center" vertical="center" wrapText="1"/>
    </xf>
    <xf numFmtId="165" fontId="5" fillId="0" borderId="55" xfId="7" applyNumberFormat="1" applyFont="1" applyFill="1" applyBorder="1" applyAlignment="1">
      <alignment horizontal="center" vertical="center"/>
    </xf>
    <xf numFmtId="165" fontId="4" fillId="0" borderId="54" xfId="7" applyNumberFormat="1" applyFont="1" applyFill="1" applyBorder="1" applyAlignment="1">
      <alignment horizontal="right" vertical="center"/>
    </xf>
    <xf numFmtId="165" fontId="4" fillId="0" borderId="90" xfId="7" applyNumberFormat="1" applyFont="1" applyFill="1" applyBorder="1" applyAlignment="1">
      <alignment horizontal="right" vertical="center"/>
    </xf>
    <xf numFmtId="165" fontId="4" fillId="0" borderId="52" xfId="7" applyNumberFormat="1" applyFont="1" applyFill="1" applyBorder="1" applyAlignment="1">
      <alignment horizontal="right" vertical="center"/>
    </xf>
    <xf numFmtId="165" fontId="5" fillId="0" borderId="13" xfId="8" applyNumberFormat="1" applyFont="1" applyFill="1" applyBorder="1" applyAlignment="1">
      <alignment horizontal="right" vertical="center"/>
    </xf>
    <xf numFmtId="165" fontId="5" fillId="0" borderId="13" xfId="8" applyNumberFormat="1" applyFont="1" applyFill="1" applyBorder="1" applyAlignment="1">
      <alignment vertical="center"/>
    </xf>
    <xf numFmtId="165" fontId="5" fillId="0" borderId="24" xfId="8" applyNumberFormat="1" applyFont="1" applyFill="1" applyBorder="1" applyAlignment="1">
      <alignment horizontal="right" vertical="center"/>
    </xf>
    <xf numFmtId="165" fontId="4" fillId="0" borderId="40" xfId="7" applyNumberFormat="1" applyFont="1" applyFill="1" applyBorder="1" applyAlignment="1">
      <alignment vertical="center"/>
    </xf>
    <xf numFmtId="1" fontId="5" fillId="0" borderId="22" xfId="7" applyNumberFormat="1" applyFont="1" applyFill="1" applyBorder="1" applyAlignment="1">
      <alignment horizontal="center" vertical="center"/>
    </xf>
    <xf numFmtId="165" fontId="4" fillId="0" borderId="90" xfId="7" applyNumberFormat="1" applyFont="1" applyFill="1" applyBorder="1" applyAlignment="1">
      <alignment vertical="center"/>
    </xf>
    <xf numFmtId="165" fontId="5" fillId="0" borderId="13" xfId="0" applyNumberFormat="1" applyFont="1" applyFill="1" applyBorder="1" applyAlignment="1">
      <alignment vertical="center"/>
    </xf>
    <xf numFmtId="0" fontId="5" fillId="0" borderId="60" xfId="0" applyFont="1" applyFill="1" applyBorder="1" applyAlignment="1">
      <alignment vertical="center" wrapText="1"/>
    </xf>
    <xf numFmtId="0" fontId="5" fillId="0" borderId="13" xfId="7" applyNumberFormat="1" applyFont="1" applyFill="1" applyBorder="1" applyAlignment="1">
      <alignment horizontal="right" vertical="center"/>
    </xf>
    <xf numFmtId="165" fontId="5" fillId="0" borderId="59" xfId="7" applyNumberFormat="1" applyFont="1" applyFill="1" applyBorder="1" applyAlignment="1">
      <alignment vertical="center"/>
    </xf>
    <xf numFmtId="2" fontId="5" fillId="0" borderId="45" xfId="7" applyNumberFormat="1" applyFont="1" applyFill="1" applyBorder="1" applyAlignment="1">
      <alignment horizontal="center" vertical="center"/>
    </xf>
    <xf numFmtId="165" fontId="5" fillId="0" borderId="22" xfId="7" applyNumberFormat="1" applyFont="1" applyFill="1" applyBorder="1" applyAlignment="1">
      <alignment horizontal="center" vertical="center"/>
    </xf>
    <xf numFmtId="165" fontId="5" fillId="0" borderId="91" xfId="7" applyNumberFormat="1" applyFont="1" applyFill="1" applyBorder="1" applyAlignment="1">
      <alignment horizontal="center" vertical="center"/>
    </xf>
    <xf numFmtId="0" fontId="5" fillId="0" borderId="0" xfId="8" applyFont="1" applyFill="1" applyBorder="1" applyAlignment="1">
      <alignment horizontal="right" vertical="center"/>
    </xf>
    <xf numFmtId="165" fontId="4" fillId="0" borderId="77" xfId="7" applyNumberFormat="1" applyFont="1" applyFill="1" applyBorder="1" applyAlignment="1">
      <alignment vertical="center"/>
    </xf>
    <xf numFmtId="165" fontId="4" fillId="0" borderId="1" xfId="7" applyNumberFormat="1" applyFont="1" applyFill="1" applyBorder="1" applyAlignment="1">
      <alignment vertical="center"/>
    </xf>
    <xf numFmtId="165" fontId="5" fillId="0" borderId="12" xfId="7" applyNumberFormat="1" applyFont="1" applyFill="1" applyBorder="1" applyAlignment="1">
      <alignment wrapText="1"/>
    </xf>
    <xf numFmtId="3" fontId="5" fillId="0" borderId="22" xfId="1" applyNumberFormat="1" applyFont="1" applyFill="1" applyBorder="1" applyAlignment="1">
      <alignment horizontal="left" vertical="center" wrapText="1"/>
    </xf>
    <xf numFmtId="165" fontId="4" fillId="0" borderId="52" xfId="7" applyNumberFormat="1" applyFont="1" applyFill="1" applyBorder="1" applyAlignment="1">
      <alignment vertical="center"/>
    </xf>
    <xf numFmtId="1" fontId="5" fillId="0" borderId="78" xfId="7" applyNumberFormat="1" applyFont="1" applyFill="1" applyBorder="1" applyAlignment="1">
      <alignment horizontal="center" vertical="top"/>
    </xf>
    <xf numFmtId="165" fontId="5" fillId="0" borderId="12" xfId="7" applyNumberFormat="1" applyFont="1" applyFill="1" applyBorder="1" applyAlignment="1">
      <alignment horizontal="center" vertical="center"/>
    </xf>
    <xf numFmtId="165" fontId="5" fillId="0" borderId="56" xfId="7" applyNumberFormat="1" applyFont="1" applyFill="1" applyBorder="1" applyAlignment="1">
      <alignment horizontal="center" vertical="center"/>
    </xf>
    <xf numFmtId="3" fontId="5" fillId="0" borderId="12" xfId="1" applyNumberFormat="1" applyFont="1" applyFill="1" applyBorder="1" applyAlignment="1">
      <alignment horizontal="left" vertical="top" wrapText="1"/>
    </xf>
    <xf numFmtId="1" fontId="5" fillId="0" borderId="12" xfId="7" applyNumberFormat="1" applyFont="1" applyFill="1" applyBorder="1" applyAlignment="1">
      <alignment horizontal="center"/>
    </xf>
    <xf numFmtId="1" fontId="5" fillId="0" borderId="56" xfId="7" applyNumberFormat="1" applyFont="1" applyFill="1" applyBorder="1" applyAlignment="1">
      <alignment horizontal="center"/>
    </xf>
    <xf numFmtId="1" fontId="5" fillId="0" borderId="55" xfId="7" applyNumberFormat="1" applyFont="1" applyFill="1" applyBorder="1" applyAlignment="1">
      <alignment horizontal="center"/>
    </xf>
    <xf numFmtId="165" fontId="4" fillId="0" borderId="71" xfId="7" applyNumberFormat="1" applyFont="1" applyFill="1" applyBorder="1" applyAlignment="1">
      <alignment vertical="top"/>
    </xf>
    <xf numFmtId="0" fontId="5" fillId="0" borderId="105" xfId="0" applyFont="1" applyFill="1" applyBorder="1" applyAlignment="1">
      <alignment vertical="center"/>
    </xf>
    <xf numFmtId="165" fontId="4" fillId="0" borderId="66" xfId="0" applyNumberFormat="1" applyFont="1" applyFill="1" applyBorder="1" applyAlignment="1">
      <alignment horizontal="right" vertical="top"/>
    </xf>
    <xf numFmtId="165" fontId="4" fillId="0" borderId="22" xfId="0" applyNumberFormat="1" applyFont="1" applyFill="1" applyBorder="1" applyAlignment="1">
      <alignment horizontal="right" vertical="top"/>
    </xf>
    <xf numFmtId="49" fontId="5" fillId="0" borderId="81" xfId="7" applyNumberFormat="1" applyFont="1" applyFill="1" applyBorder="1" applyAlignment="1">
      <alignment horizontal="left" vertical="center"/>
    </xf>
    <xf numFmtId="0" fontId="0" fillId="0" borderId="57" xfId="0" applyFill="1" applyBorder="1" applyAlignment="1">
      <alignment vertical="center"/>
    </xf>
    <xf numFmtId="0" fontId="0" fillId="0" borderId="84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5" fillId="0" borderId="57" xfId="7" applyNumberFormat="1" applyFont="1" applyFill="1" applyBorder="1" applyAlignment="1">
      <alignment horizontal="left" vertical="center"/>
    </xf>
    <xf numFmtId="0" fontId="0" fillId="0" borderId="24" xfId="0" applyFill="1" applyBorder="1" applyAlignment="1">
      <alignment horizontal="left" vertical="center"/>
    </xf>
    <xf numFmtId="49" fontId="5" fillId="0" borderId="57" xfId="7" applyNumberFormat="1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165" fontId="5" fillId="0" borderId="57" xfId="7" applyNumberFormat="1" applyFont="1" applyFill="1" applyBorder="1" applyAlignment="1">
      <alignment horizontal="right" vertical="center"/>
    </xf>
    <xf numFmtId="0" fontId="0" fillId="0" borderId="24" xfId="0" applyFill="1" applyBorder="1" applyAlignment="1">
      <alignment horizontal="right" vertical="center"/>
    </xf>
    <xf numFmtId="49" fontId="5" fillId="0" borderId="81" xfId="7" applyNumberFormat="1" applyFont="1" applyFill="1" applyBorder="1" applyAlignment="1">
      <alignment horizontal="left" vertical="center" wrapText="1"/>
    </xf>
    <xf numFmtId="0" fontId="0" fillId="0" borderId="57" xfId="0" applyFill="1" applyBorder="1" applyAlignment="1">
      <alignment vertical="center" wrapText="1"/>
    </xf>
    <xf numFmtId="0" fontId="0" fillId="0" borderId="84" xfId="0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49" fontId="5" fillId="0" borderId="57" xfId="7" applyNumberFormat="1" applyFont="1" applyFill="1" applyBorder="1" applyAlignment="1">
      <alignment horizontal="left" vertical="center"/>
    </xf>
    <xf numFmtId="0" fontId="5" fillId="0" borderId="57" xfId="7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49" fontId="5" fillId="0" borderId="90" xfId="7" applyNumberFormat="1" applyFont="1" applyFill="1" applyBorder="1" applyAlignment="1">
      <alignment horizontal="left" vertical="center" wrapText="1"/>
    </xf>
    <xf numFmtId="0" fontId="0" fillId="0" borderId="52" xfId="0" applyFill="1" applyBorder="1" applyAlignment="1">
      <alignment horizontal="left" vertical="center" wrapText="1"/>
    </xf>
    <xf numFmtId="0" fontId="0" fillId="0" borderId="17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65" fontId="5" fillId="0" borderId="70" xfId="7" applyNumberFormat="1" applyFont="1" applyFill="1" applyBorder="1" applyAlignment="1">
      <alignment horizontal="right" vertical="center"/>
    </xf>
    <xf numFmtId="0" fontId="0" fillId="0" borderId="22" xfId="0" applyFill="1" applyBorder="1" applyAlignment="1">
      <alignment horizontal="right" vertical="center"/>
    </xf>
    <xf numFmtId="165" fontId="5" fillId="0" borderId="2" xfId="7" applyNumberFormat="1" applyFont="1" applyFill="1" applyBorder="1" applyAlignment="1">
      <alignment horizontal="right" vertical="center"/>
    </xf>
    <xf numFmtId="49" fontId="5" fillId="0" borderId="76" xfId="7" applyNumberFormat="1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71" xfId="0" applyFill="1" applyBorder="1" applyAlignment="1">
      <alignment horizontal="left" vertical="center" wrapText="1"/>
    </xf>
    <xf numFmtId="0" fontId="0" fillId="0" borderId="57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84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49" fontId="5" fillId="0" borderId="57" xfId="0" applyNumberFormat="1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13" fillId="0" borderId="40" xfId="3" applyFont="1" applyFill="1" applyBorder="1" applyAlignment="1">
      <alignment horizontal="right" vertical="top"/>
    </xf>
    <xf numFmtId="0" fontId="30" fillId="0" borderId="36" xfId="0" applyFont="1" applyFill="1" applyBorder="1" applyAlignment="1">
      <alignment vertical="top"/>
    </xf>
    <xf numFmtId="0" fontId="30" fillId="0" borderId="89" xfId="0" applyFont="1" applyFill="1" applyBorder="1" applyAlignment="1">
      <alignment vertical="top"/>
    </xf>
    <xf numFmtId="0" fontId="5" fillId="0" borderId="40" xfId="3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6" fillId="0" borderId="85" xfId="0" applyFont="1" applyFill="1" applyBorder="1" applyAlignment="1">
      <alignment horizontal="left" vertical="center" wrapText="1"/>
    </xf>
    <xf numFmtId="0" fontId="13" fillId="0" borderId="43" xfId="3" applyFont="1" applyFill="1" applyBorder="1" applyAlignment="1">
      <alignment horizontal="right" vertical="top"/>
    </xf>
    <xf numFmtId="0" fontId="0" fillId="0" borderId="44" xfId="0" applyFill="1" applyBorder="1" applyAlignment="1">
      <alignment vertical="top"/>
    </xf>
    <xf numFmtId="165" fontId="5" fillId="0" borderId="13" xfId="7" applyNumberFormat="1" applyFont="1" applyFill="1" applyBorder="1" applyAlignment="1">
      <alignment horizontal="right" vertical="center"/>
    </xf>
    <xf numFmtId="49" fontId="5" fillId="0" borderId="13" xfId="7" applyNumberFormat="1" applyFont="1" applyFill="1" applyBorder="1" applyAlignment="1">
      <alignment horizontal="left" vertical="center"/>
    </xf>
    <xf numFmtId="0" fontId="5" fillId="0" borderId="70" xfId="0" applyNumberFormat="1" applyFont="1" applyFill="1" applyBorder="1" applyAlignment="1">
      <alignment horizontal="left" vertical="center"/>
    </xf>
    <xf numFmtId="0" fontId="0" fillId="0" borderId="60" xfId="0" applyFill="1" applyBorder="1" applyAlignment="1">
      <alignment horizontal="left" vertical="center"/>
    </xf>
    <xf numFmtId="49" fontId="5" fillId="0" borderId="98" xfId="7" applyNumberFormat="1" applyFont="1" applyFill="1" applyBorder="1" applyAlignment="1">
      <alignment horizontal="center" vertical="center"/>
    </xf>
    <xf numFmtId="0" fontId="0" fillId="0" borderId="99" xfId="0" applyFill="1" applyBorder="1" applyAlignment="1">
      <alignment horizontal="center" vertical="center"/>
    </xf>
    <xf numFmtId="0" fontId="0" fillId="0" borderId="13" xfId="0" applyFill="1" applyBorder="1" applyAlignment="1">
      <alignment horizontal="right" vertical="center"/>
    </xf>
    <xf numFmtId="165" fontId="5" fillId="0" borderId="102" xfId="7" applyNumberFormat="1" applyFont="1" applyFill="1" applyBorder="1" applyAlignment="1">
      <alignment horizontal="right" vertical="center"/>
    </xf>
    <xf numFmtId="0" fontId="0" fillId="0" borderId="29" xfId="0" applyFill="1" applyBorder="1" applyAlignment="1">
      <alignment horizontal="right" vertical="center"/>
    </xf>
    <xf numFmtId="0" fontId="0" fillId="0" borderId="72" xfId="0" applyFill="1" applyBorder="1" applyAlignment="1">
      <alignment horizontal="right" vertical="center"/>
    </xf>
    <xf numFmtId="165" fontId="5" fillId="0" borderId="12" xfId="7" applyNumberFormat="1" applyFont="1" applyFill="1" applyBorder="1" applyAlignment="1">
      <alignment horizontal="right" vertical="center"/>
    </xf>
    <xf numFmtId="0" fontId="0" fillId="0" borderId="60" xfId="0" applyFill="1" applyBorder="1" applyAlignment="1">
      <alignment horizontal="right" vertical="center"/>
    </xf>
    <xf numFmtId="49" fontId="5" fillId="0" borderId="70" xfId="7" applyNumberFormat="1" applyFont="1" applyFill="1" applyBorder="1" applyAlignment="1">
      <alignment horizontal="center" vertical="center"/>
    </xf>
    <xf numFmtId="49" fontId="5" fillId="0" borderId="60" xfId="7" applyNumberFormat="1" applyFont="1" applyFill="1" applyBorder="1" applyAlignment="1">
      <alignment horizontal="center" vertical="center"/>
    </xf>
    <xf numFmtId="49" fontId="5" fillId="0" borderId="13" xfId="7" applyNumberFormat="1" applyFont="1" applyFill="1" applyBorder="1" applyAlignment="1">
      <alignment horizontal="center" vertical="center"/>
    </xf>
    <xf numFmtId="165" fontId="5" fillId="0" borderId="70" xfId="7" applyNumberFormat="1" applyFont="1" applyFill="1" applyBorder="1" applyAlignment="1">
      <alignment horizontal="center" vertical="center"/>
    </xf>
    <xf numFmtId="165" fontId="5" fillId="0" borderId="60" xfId="7" applyNumberFormat="1" applyFont="1" applyFill="1" applyBorder="1" applyAlignment="1">
      <alignment horizontal="center" vertical="center"/>
    </xf>
    <xf numFmtId="165" fontId="5" fillId="0" borderId="13" xfId="7" applyNumberFormat="1" applyFont="1" applyFill="1" applyBorder="1" applyAlignment="1">
      <alignment horizontal="center" vertical="center"/>
    </xf>
    <xf numFmtId="0" fontId="13" fillId="0" borderId="76" xfId="3" applyFont="1" applyFill="1" applyBorder="1" applyAlignment="1">
      <alignment horizontal="right" vertical="top"/>
    </xf>
    <xf numFmtId="0" fontId="30" fillId="0" borderId="15" xfId="0" applyFont="1" applyFill="1" applyBorder="1" applyAlignment="1">
      <alignment vertical="top"/>
    </xf>
    <xf numFmtId="0" fontId="30" fillId="0" borderId="73" xfId="0" applyFont="1" applyFill="1" applyBorder="1" applyAlignment="1">
      <alignment vertical="top"/>
    </xf>
    <xf numFmtId="0" fontId="0" fillId="0" borderId="15" xfId="0" applyFill="1" applyBorder="1" applyAlignment="1"/>
    <xf numFmtId="0" fontId="0" fillId="0" borderId="73" xfId="0" applyFill="1" applyBorder="1" applyAlignment="1"/>
    <xf numFmtId="0" fontId="0" fillId="0" borderId="15" xfId="0" applyFill="1" applyBorder="1" applyAlignment="1">
      <alignment vertical="center"/>
    </xf>
    <xf numFmtId="0" fontId="0" fillId="0" borderId="71" xfId="0" applyFill="1" applyBorder="1" applyAlignment="1">
      <alignment vertical="center"/>
    </xf>
    <xf numFmtId="0" fontId="0" fillId="0" borderId="77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43" xfId="0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0" fillId="0" borderId="72" xfId="0" applyFill="1" applyBorder="1" applyAlignment="1">
      <alignment vertical="center"/>
    </xf>
    <xf numFmtId="49" fontId="5" fillId="0" borderId="15" xfId="7" applyNumberFormat="1" applyFont="1" applyFill="1" applyBorder="1" applyAlignment="1">
      <alignment horizontal="left" vertical="center" wrapText="1"/>
    </xf>
    <xf numFmtId="49" fontId="5" fillId="0" borderId="71" xfId="7" applyNumberFormat="1" applyFont="1" applyFill="1" applyBorder="1" applyAlignment="1">
      <alignment horizontal="left" vertical="center" wrapText="1"/>
    </xf>
    <xf numFmtId="49" fontId="5" fillId="0" borderId="77" xfId="7" applyNumberFormat="1" applyFont="1" applyFill="1" applyBorder="1" applyAlignment="1">
      <alignment horizontal="left" vertical="center" wrapText="1"/>
    </xf>
    <xf numFmtId="49" fontId="5" fillId="0" borderId="0" xfId="7" applyNumberFormat="1" applyFont="1" applyFill="1" applyBorder="1" applyAlignment="1">
      <alignment horizontal="left" vertical="center" wrapText="1"/>
    </xf>
    <xf numFmtId="49" fontId="5" fillId="0" borderId="29" xfId="7" applyNumberFormat="1" applyFont="1" applyFill="1" applyBorder="1" applyAlignment="1">
      <alignment horizontal="left" vertical="center" wrapText="1"/>
    </xf>
    <xf numFmtId="49" fontId="5" fillId="0" borderId="2" xfId="7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3" xfId="0" applyFill="1" applyBorder="1" applyAlignment="1">
      <alignment horizontal="left" vertical="center" wrapText="1"/>
    </xf>
    <xf numFmtId="0" fontId="0" fillId="0" borderId="44" xfId="0" applyFill="1" applyBorder="1" applyAlignment="1">
      <alignment horizontal="left" vertical="center" wrapText="1"/>
    </xf>
    <xf numFmtId="0" fontId="0" fillId="0" borderId="72" xfId="0" applyFill="1" applyBorder="1" applyAlignment="1">
      <alignment horizontal="left" vertical="center" wrapText="1"/>
    </xf>
    <xf numFmtId="0" fontId="5" fillId="0" borderId="70" xfId="7" applyNumberFormat="1" applyFont="1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0" fillId="0" borderId="22" xfId="0" applyFill="1" applyBorder="1" applyAlignment="1">
      <alignment horizontal="center" vertical="center"/>
    </xf>
    <xf numFmtId="49" fontId="5" fillId="0" borderId="57" xfId="7" applyNumberFormat="1" applyFont="1" applyFill="1" applyBorder="1" applyAlignment="1">
      <alignment horizontal="left" vertical="center" wrapText="1"/>
    </xf>
    <xf numFmtId="0" fontId="5" fillId="0" borderId="60" xfId="7" applyNumberFormat="1" applyFont="1" applyFill="1" applyBorder="1" applyAlignment="1">
      <alignment horizontal="left" vertical="center"/>
    </xf>
    <xf numFmtId="0" fontId="5" fillId="0" borderId="22" xfId="7" applyNumberFormat="1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49" fontId="5" fillId="0" borderId="18" xfId="7" applyNumberFormat="1" applyFont="1" applyFill="1" applyBorder="1" applyAlignment="1">
      <alignment horizontal="center" vertical="center" textRotation="90" wrapText="1"/>
    </xf>
    <xf numFmtId="0" fontId="0" fillId="0" borderId="18" xfId="0" applyFill="1" applyBorder="1" applyAlignment="1">
      <alignment horizontal="center" vertical="center" textRotation="90" wrapText="1"/>
    </xf>
    <xf numFmtId="49" fontId="5" fillId="0" borderId="82" xfId="7" applyNumberFormat="1" applyFont="1" applyFill="1" applyBorder="1" applyAlignment="1">
      <alignment horizontal="center" vertical="center" textRotation="90" wrapText="1"/>
    </xf>
    <xf numFmtId="0" fontId="0" fillId="0" borderId="77" xfId="0" applyFill="1" applyBorder="1" applyAlignment="1">
      <alignment horizontal="center" vertical="center" textRotation="90" wrapText="1"/>
    </xf>
    <xf numFmtId="0" fontId="0" fillId="0" borderId="19" xfId="0" applyFill="1" applyBorder="1" applyAlignment="1">
      <alignment horizontal="center" vertical="center" textRotation="90" wrapText="1"/>
    </xf>
    <xf numFmtId="0" fontId="0" fillId="0" borderId="15" xfId="0" applyFill="1" applyBorder="1" applyAlignment="1">
      <alignment vertical="top"/>
    </xf>
    <xf numFmtId="165" fontId="15" fillId="0" borderId="57" xfId="7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 wrapText="1"/>
    </xf>
    <xf numFmtId="0" fontId="30" fillId="0" borderId="44" xfId="0" applyFont="1" applyFill="1" applyBorder="1" applyAlignment="1">
      <alignment vertical="top"/>
    </xf>
    <xf numFmtId="0" fontId="30" fillId="0" borderId="75" xfId="0" applyFont="1" applyFill="1" applyBorder="1" applyAlignment="1">
      <alignment vertical="top"/>
    </xf>
    <xf numFmtId="165" fontId="5" fillId="0" borderId="71" xfId="7" applyNumberFormat="1" applyFont="1" applyFill="1" applyBorder="1" applyAlignment="1">
      <alignment horizontal="right" vertical="center"/>
    </xf>
    <xf numFmtId="0" fontId="0" fillId="0" borderId="52" xfId="0" applyFill="1" applyBorder="1" applyAlignment="1">
      <alignment vertical="center" wrapText="1"/>
    </xf>
    <xf numFmtId="49" fontId="5" fillId="0" borderId="82" xfId="7" applyNumberFormat="1" applyFont="1" applyFill="1" applyBorder="1" applyAlignment="1">
      <alignment horizontal="center" vertical="center" textRotation="90"/>
    </xf>
    <xf numFmtId="0" fontId="0" fillId="0" borderId="18" xfId="0" applyFill="1" applyBorder="1" applyAlignment="1">
      <alignment horizontal="center" vertical="center" textRotation="90"/>
    </xf>
    <xf numFmtId="0" fontId="0" fillId="0" borderId="19" xfId="0" applyFill="1" applyBorder="1" applyAlignment="1">
      <alignment horizontal="center" vertical="center" textRotation="90"/>
    </xf>
    <xf numFmtId="49" fontId="13" fillId="0" borderId="40" xfId="7" applyNumberFormat="1" applyFont="1" applyFill="1" applyBorder="1" applyAlignment="1">
      <alignment horizontal="right" vertical="top"/>
    </xf>
    <xf numFmtId="0" fontId="0" fillId="0" borderId="36" xfId="0" applyFill="1" applyBorder="1" applyAlignment="1">
      <alignment horizontal="right" vertical="top"/>
    </xf>
    <xf numFmtId="0" fontId="0" fillId="0" borderId="89" xfId="0" applyFill="1" applyBorder="1" applyAlignment="1">
      <alignment horizontal="right" vertical="top"/>
    </xf>
    <xf numFmtId="0" fontId="13" fillId="0" borderId="77" xfId="3" applyFont="1" applyFill="1" applyBorder="1" applyAlignment="1">
      <alignment horizontal="right" vertical="top"/>
    </xf>
    <xf numFmtId="0" fontId="30" fillId="0" borderId="0" xfId="0" applyFont="1" applyFill="1" applyBorder="1" applyAlignment="1">
      <alignment vertical="top"/>
    </xf>
    <xf numFmtId="0" fontId="30" fillId="0" borderId="74" xfId="0" applyFont="1" applyFill="1" applyBorder="1" applyAlignment="1">
      <alignment vertical="top"/>
    </xf>
    <xf numFmtId="49" fontId="5" fillId="0" borderId="19" xfId="7" applyNumberFormat="1" applyFont="1" applyFill="1" applyBorder="1" applyAlignment="1">
      <alignment horizontal="center" vertical="center" textRotation="90" wrapText="1"/>
    </xf>
    <xf numFmtId="0" fontId="5" fillId="0" borderId="12" xfId="0" applyNumberFormat="1" applyFont="1" applyFill="1" applyBorder="1" applyAlignment="1">
      <alignment horizontal="left" vertical="center"/>
    </xf>
    <xf numFmtId="0" fontId="5" fillId="0" borderId="13" xfId="0" applyNumberFormat="1" applyFont="1" applyFill="1" applyBorder="1" applyAlignment="1">
      <alignment horizontal="left" vertical="center"/>
    </xf>
    <xf numFmtId="0" fontId="18" fillId="0" borderId="68" xfId="3" applyFont="1" applyFill="1" applyBorder="1" applyAlignment="1">
      <alignment horizontal="center" vertical="center" textRotation="90" wrapText="1" shrinkToFit="1"/>
    </xf>
    <xf numFmtId="0" fontId="18" fillId="0" borderId="69" xfId="3" applyFont="1" applyFill="1" applyBorder="1" applyAlignment="1">
      <alignment horizontal="center" vertical="center" textRotation="90" wrapText="1" shrinkToFit="1"/>
    </xf>
    <xf numFmtId="0" fontId="18" fillId="0" borderId="66" xfId="3" applyFont="1" applyFill="1" applyBorder="1" applyAlignment="1">
      <alignment horizontal="center" vertical="center" textRotation="90" wrapText="1" shrinkToFit="1"/>
    </xf>
    <xf numFmtId="0" fontId="18" fillId="0" borderId="70" xfId="3" applyFont="1" applyFill="1" applyBorder="1" applyAlignment="1">
      <alignment horizontal="center" vertical="center" textRotation="90" wrapText="1" shrinkToFit="1"/>
    </xf>
    <xf numFmtId="0" fontId="18" fillId="0" borderId="60" xfId="3" applyFont="1" applyFill="1" applyBorder="1" applyAlignment="1">
      <alignment horizontal="center" vertical="center" textRotation="90" wrapText="1" shrinkToFit="1"/>
    </xf>
    <xf numFmtId="0" fontId="18" fillId="0" borderId="22" xfId="3" applyFont="1" applyFill="1" applyBorder="1" applyAlignment="1">
      <alignment horizontal="center" vertical="center" textRotation="90" wrapText="1" shrinkToFit="1"/>
    </xf>
    <xf numFmtId="0" fontId="18" fillId="0" borderId="70" xfId="3" applyFont="1" applyFill="1" applyBorder="1" applyAlignment="1">
      <alignment horizontal="center" vertical="center" textRotation="88" wrapText="1"/>
    </xf>
    <xf numFmtId="0" fontId="18" fillId="0" borderId="60" xfId="3" applyFont="1" applyFill="1" applyBorder="1" applyAlignment="1">
      <alignment horizontal="center" vertical="center" textRotation="88" wrapText="1"/>
    </xf>
    <xf numFmtId="0" fontId="18" fillId="0" borderId="22" xfId="3" applyFont="1" applyFill="1" applyBorder="1" applyAlignment="1">
      <alignment horizontal="center" vertical="center" textRotation="88" wrapText="1"/>
    </xf>
    <xf numFmtId="0" fontId="18" fillId="0" borderId="61" xfId="3" applyFont="1" applyFill="1" applyBorder="1" applyAlignment="1">
      <alignment horizontal="center" vertical="center" textRotation="90" wrapText="1" shrinkToFit="1"/>
    </xf>
    <xf numFmtId="0" fontId="18" fillId="0" borderId="1" xfId="3" applyFont="1" applyFill="1" applyBorder="1" applyAlignment="1">
      <alignment horizontal="center" vertical="center" textRotation="90" wrapText="1" shrinkToFit="1"/>
    </xf>
    <xf numFmtId="0" fontId="18" fillId="0" borderId="59" xfId="3" applyFont="1" applyFill="1" applyBorder="1" applyAlignment="1">
      <alignment horizontal="center" vertical="center" textRotation="90" wrapText="1" shrinkToFit="1"/>
    </xf>
    <xf numFmtId="0" fontId="5" fillId="0" borderId="12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49" fontId="5" fillId="0" borderId="12" xfId="0" applyNumberFormat="1" applyFont="1" applyFill="1" applyBorder="1" applyAlignment="1">
      <alignment horizontal="left" vertical="center" wrapText="1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2" xfId="0" applyNumberFormat="1" applyFont="1" applyFill="1" applyBorder="1" applyAlignment="1">
      <alignment horizontal="left" vertical="center"/>
    </xf>
    <xf numFmtId="49" fontId="5" fillId="0" borderId="13" xfId="0" applyNumberFormat="1" applyFont="1" applyFill="1" applyBorder="1" applyAlignment="1">
      <alignment horizontal="left" vertical="center"/>
    </xf>
    <xf numFmtId="49" fontId="5" fillId="0" borderId="22" xfId="0" applyNumberFormat="1" applyFont="1" applyFill="1" applyBorder="1" applyAlignment="1">
      <alignment horizontal="left" vertical="center"/>
    </xf>
    <xf numFmtId="49" fontId="5" fillId="0" borderId="70" xfId="0" applyNumberFormat="1" applyFont="1" applyFill="1" applyBorder="1" applyAlignment="1">
      <alignment horizontal="left" vertical="center"/>
    </xf>
    <xf numFmtId="49" fontId="26" fillId="0" borderId="82" xfId="7" applyNumberFormat="1" applyFont="1" applyFill="1" applyBorder="1" applyAlignment="1">
      <alignment horizontal="center" vertical="center" textRotation="90"/>
    </xf>
    <xf numFmtId="0" fontId="27" fillId="0" borderId="18" xfId="0" applyFont="1" applyFill="1" applyBorder="1" applyAlignment="1">
      <alignment horizontal="center" vertical="center" textRotation="90"/>
    </xf>
    <xf numFmtId="0" fontId="27" fillId="0" borderId="19" xfId="0" applyFont="1" applyFill="1" applyBorder="1" applyAlignment="1">
      <alignment horizontal="center" vertical="center" textRotation="90"/>
    </xf>
    <xf numFmtId="0" fontId="13" fillId="0" borderId="90" xfId="3" applyFont="1" applyFill="1" applyBorder="1" applyAlignment="1">
      <alignment horizontal="right" vertical="top"/>
    </xf>
    <xf numFmtId="0" fontId="0" fillId="0" borderId="52" xfId="0" applyFill="1" applyBorder="1" applyAlignment="1">
      <alignment vertical="top"/>
    </xf>
    <xf numFmtId="0" fontId="0" fillId="0" borderId="45" xfId="0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44" xfId="0" applyFill="1" applyBorder="1" applyAlignment="1"/>
    <xf numFmtId="49" fontId="5" fillId="0" borderId="76" xfId="7" applyNumberFormat="1" applyFont="1" applyFill="1" applyBorder="1" applyAlignment="1">
      <alignment horizontal="left" vertical="center"/>
    </xf>
    <xf numFmtId="0" fontId="13" fillId="0" borderId="68" xfId="3" applyFont="1" applyFill="1" applyBorder="1" applyAlignment="1">
      <alignment horizontal="right" vertical="top"/>
    </xf>
    <xf numFmtId="0" fontId="0" fillId="0" borderId="70" xfId="0" applyFill="1" applyBorder="1" applyAlignment="1">
      <alignment vertical="top"/>
    </xf>
    <xf numFmtId="0" fontId="0" fillId="0" borderId="78" xfId="0" applyFill="1" applyBorder="1" applyAlignment="1">
      <alignment vertical="top"/>
    </xf>
    <xf numFmtId="49" fontId="26" fillId="0" borderId="76" xfId="7" applyNumberFormat="1" applyFont="1" applyFill="1" applyBorder="1" applyAlignment="1">
      <alignment horizontal="center" vertical="top" textRotation="90"/>
    </xf>
    <xf numFmtId="0" fontId="27" fillId="0" borderId="77" xfId="0" applyFont="1" applyFill="1" applyBorder="1" applyAlignment="1">
      <alignment horizontal="center" vertical="top" textRotation="90"/>
    </xf>
    <xf numFmtId="0" fontId="0" fillId="0" borderId="77" xfId="0" applyFill="1" applyBorder="1" applyAlignment="1">
      <alignment horizontal="center" vertical="top" textRotation="90"/>
    </xf>
    <xf numFmtId="0" fontId="0" fillId="0" borderId="43" xfId="0" applyFill="1" applyBorder="1" applyAlignment="1">
      <alignment horizontal="center" vertical="top" textRotation="90"/>
    </xf>
    <xf numFmtId="49" fontId="5" fillId="0" borderId="40" xfId="7" applyNumberFormat="1" applyFont="1" applyFill="1" applyBorder="1" applyAlignment="1">
      <alignment horizontal="left" vertical="center"/>
    </xf>
    <xf numFmtId="0" fontId="0" fillId="0" borderId="36" xfId="0" applyFill="1" applyBorder="1" applyAlignment="1">
      <alignment vertical="center"/>
    </xf>
    <xf numFmtId="0" fontId="0" fillId="0" borderId="85" xfId="0" applyFill="1" applyBorder="1" applyAlignment="1">
      <alignment vertical="center"/>
    </xf>
    <xf numFmtId="0" fontId="0" fillId="0" borderId="43" xfId="0" applyFill="1" applyBorder="1" applyAlignment="1"/>
    <xf numFmtId="0" fontId="3" fillId="0" borderId="62" xfId="3" applyFont="1" applyFill="1" applyBorder="1" applyAlignment="1">
      <alignment horizontal="center" vertical="center"/>
    </xf>
    <xf numFmtId="0" fontId="3" fillId="0" borderId="63" xfId="3" applyFont="1" applyFill="1" applyBorder="1" applyAlignment="1">
      <alignment horizontal="center" vertical="center"/>
    </xf>
    <xf numFmtId="0" fontId="3" fillId="0" borderId="64" xfId="3" applyFont="1" applyFill="1" applyBorder="1" applyAlignment="1">
      <alignment horizontal="center" vertical="center"/>
    </xf>
    <xf numFmtId="0" fontId="18" fillId="0" borderId="65" xfId="3" applyFont="1" applyFill="1" applyBorder="1" applyAlignment="1">
      <alignment horizontal="center" vertical="center" wrapText="1"/>
    </xf>
    <xf numFmtId="0" fontId="18" fillId="0" borderId="66" xfId="3" applyFont="1" applyFill="1" applyBorder="1" applyAlignment="1">
      <alignment horizontal="center" vertical="center" wrapText="1"/>
    </xf>
    <xf numFmtId="0" fontId="18" fillId="0" borderId="4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67" xfId="3" applyFont="1" applyFill="1" applyBorder="1" applyAlignment="1">
      <alignment horizontal="center" vertical="center"/>
    </xf>
    <xf numFmtId="0" fontId="18" fillId="0" borderId="73" xfId="3" applyFont="1" applyFill="1" applyBorder="1" applyAlignment="1">
      <alignment horizontal="center" vertical="center" textRotation="90" wrapText="1" shrinkToFit="1"/>
    </xf>
    <xf numFmtId="0" fontId="18" fillId="0" borderId="74" xfId="3" applyFont="1" applyFill="1" applyBorder="1" applyAlignment="1">
      <alignment horizontal="center" vertical="center" textRotation="90" wrapText="1" shrinkToFit="1"/>
    </xf>
    <xf numFmtId="0" fontId="18" fillId="0" borderId="75" xfId="3" applyFont="1" applyFill="1" applyBorder="1" applyAlignment="1">
      <alignment horizontal="center" vertical="center" textRotation="90" wrapText="1" shrinkToFit="1"/>
    </xf>
    <xf numFmtId="0" fontId="18" fillId="0" borderId="71" xfId="3" applyFont="1" applyFill="1" applyBorder="1" applyAlignment="1">
      <alignment horizontal="center" vertical="center" textRotation="90" wrapText="1" shrinkToFit="1"/>
    </xf>
    <xf numFmtId="0" fontId="18" fillId="0" borderId="29" xfId="3" applyFont="1" applyFill="1" applyBorder="1" applyAlignment="1">
      <alignment horizontal="center" vertical="center" textRotation="90" wrapText="1" shrinkToFit="1"/>
    </xf>
    <xf numFmtId="0" fontId="18" fillId="0" borderId="72" xfId="3" applyFont="1" applyFill="1" applyBorder="1" applyAlignment="1">
      <alignment horizontal="center" vertical="center" textRotation="90" wrapText="1" shrinkToFit="1"/>
    </xf>
    <xf numFmtId="0" fontId="18" fillId="0" borderId="15" xfId="3" applyFont="1" applyFill="1" applyBorder="1" applyAlignment="1">
      <alignment horizontal="center" vertical="center" textRotation="90" wrapText="1" shrinkToFit="1"/>
    </xf>
    <xf numFmtId="0" fontId="18" fillId="0" borderId="0" xfId="3" applyFont="1" applyFill="1" applyBorder="1" applyAlignment="1">
      <alignment horizontal="center" vertical="center" textRotation="90" wrapText="1" shrinkToFit="1"/>
    </xf>
    <xf numFmtId="0" fontId="18" fillId="0" borderId="44" xfId="3" applyFont="1" applyFill="1" applyBorder="1" applyAlignment="1">
      <alignment horizontal="center" vertical="center" textRotation="90" wrapText="1" shrinkToFit="1"/>
    </xf>
    <xf numFmtId="0" fontId="0" fillId="0" borderId="0" xfId="0" applyFill="1" applyAlignment="1">
      <alignment vertical="center"/>
    </xf>
    <xf numFmtId="0" fontId="30" fillId="0" borderId="41" xfId="0" applyFont="1" applyFill="1" applyBorder="1" applyAlignment="1">
      <alignment vertical="top"/>
    </xf>
    <xf numFmtId="0" fontId="5" fillId="0" borderId="2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right" vertical="center"/>
    </xf>
    <xf numFmtId="0" fontId="5" fillId="0" borderId="23" xfId="0" applyNumberFormat="1" applyFont="1" applyFill="1" applyBorder="1" applyAlignment="1">
      <alignment horizontal="right" vertical="center"/>
    </xf>
    <xf numFmtId="49" fontId="5" fillId="0" borderId="23" xfId="0" applyNumberFormat="1" applyFont="1" applyFill="1" applyBorder="1" applyAlignment="1">
      <alignment horizontal="right" vertical="center"/>
    </xf>
    <xf numFmtId="0" fontId="30" fillId="0" borderId="36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44" xfId="0" applyFont="1" applyFill="1" applyBorder="1" applyAlignment="1">
      <alignment horizontal="left" vertical="center" wrapText="1"/>
    </xf>
    <xf numFmtId="0" fontId="1" fillId="0" borderId="72" xfId="0" applyFont="1" applyFill="1" applyBorder="1" applyAlignment="1">
      <alignment horizontal="left" vertical="center" wrapText="1"/>
    </xf>
    <xf numFmtId="49" fontId="4" fillId="0" borderId="40" xfId="7" applyNumberFormat="1" applyFont="1" applyFill="1" applyBorder="1" applyAlignment="1">
      <alignment horizontal="right"/>
    </xf>
    <xf numFmtId="0" fontId="30" fillId="0" borderId="36" xfId="0" applyFont="1" applyFill="1" applyBorder="1" applyAlignment="1">
      <alignment horizontal="right"/>
    </xf>
    <xf numFmtId="0" fontId="30" fillId="0" borderId="89" xfId="0" applyFont="1" applyFill="1" applyBorder="1" applyAlignment="1">
      <alignment horizontal="right"/>
    </xf>
    <xf numFmtId="49" fontId="5" fillId="0" borderId="77" xfId="7" applyNumberFormat="1" applyFont="1" applyFill="1" applyBorder="1" applyAlignment="1">
      <alignment horizontal="center" vertical="center" textRotation="90" wrapText="1"/>
    </xf>
    <xf numFmtId="0" fontId="0" fillId="0" borderId="36" xfId="0" applyFill="1" applyBorder="1" applyAlignment="1">
      <alignment vertical="top"/>
    </xf>
    <xf numFmtId="0" fontId="0" fillId="0" borderId="89" xfId="0" applyFill="1" applyBorder="1" applyAlignment="1">
      <alignment vertical="top"/>
    </xf>
    <xf numFmtId="49" fontId="5" fillId="0" borderId="76" xfId="7" applyNumberFormat="1" applyFont="1" applyFill="1" applyBorder="1" applyAlignment="1">
      <alignment horizontal="center" vertical="center" textRotation="90" wrapText="1"/>
    </xf>
    <xf numFmtId="49" fontId="13" fillId="0" borderId="40" xfId="7" applyNumberFormat="1" applyFont="1" applyFill="1" applyBorder="1" applyAlignment="1">
      <alignment horizontal="right"/>
    </xf>
    <xf numFmtId="0" fontId="13" fillId="0" borderId="36" xfId="3" applyFont="1" applyFill="1" applyBorder="1" applyAlignment="1">
      <alignment horizontal="right" vertical="top"/>
    </xf>
    <xf numFmtId="49" fontId="5" fillId="0" borderId="70" xfId="0" applyNumberFormat="1" applyFont="1" applyFill="1" applyBorder="1" applyAlignment="1">
      <alignment horizontal="left" vertical="center" wrapText="1"/>
    </xf>
    <xf numFmtId="0" fontId="0" fillId="0" borderId="60" xfId="0" applyFill="1" applyBorder="1" applyAlignment="1">
      <alignment vertical="center" wrapText="1"/>
    </xf>
    <xf numFmtId="0" fontId="13" fillId="0" borderId="0" xfId="3" applyFont="1" applyFill="1" applyBorder="1" applyAlignment="1">
      <alignment horizontal="right" vertical="top"/>
    </xf>
    <xf numFmtId="49" fontId="5" fillId="0" borderId="15" xfId="7" applyNumberFormat="1" applyFont="1" applyFill="1" applyBorder="1" applyAlignment="1">
      <alignment horizontal="left" vertical="center"/>
    </xf>
    <xf numFmtId="49" fontId="5" fillId="0" borderId="71" xfId="7" applyNumberFormat="1" applyFont="1" applyFill="1" applyBorder="1" applyAlignment="1">
      <alignment horizontal="left" vertical="center"/>
    </xf>
    <xf numFmtId="49" fontId="5" fillId="0" borderId="77" xfId="7" applyNumberFormat="1" applyFont="1" applyFill="1" applyBorder="1" applyAlignment="1">
      <alignment horizontal="left" vertical="center"/>
    </xf>
    <xf numFmtId="49" fontId="5" fillId="0" borderId="0" xfId="7" applyNumberFormat="1" applyFont="1" applyFill="1" applyBorder="1" applyAlignment="1">
      <alignment horizontal="left" vertical="center"/>
    </xf>
    <xf numFmtId="49" fontId="5" fillId="0" borderId="29" xfId="7" applyNumberFormat="1" applyFont="1" applyFill="1" applyBorder="1" applyAlignment="1">
      <alignment horizontal="left" vertical="center"/>
    </xf>
    <xf numFmtId="49" fontId="5" fillId="0" borderId="43" xfId="7" applyNumberFormat="1" applyFont="1" applyFill="1" applyBorder="1" applyAlignment="1">
      <alignment horizontal="left" vertical="center"/>
    </xf>
    <xf numFmtId="49" fontId="5" fillId="0" borderId="44" xfId="7" applyNumberFormat="1" applyFont="1" applyFill="1" applyBorder="1" applyAlignment="1">
      <alignment horizontal="left" vertical="center"/>
    </xf>
    <xf numFmtId="49" fontId="5" fillId="0" borderId="72" xfId="7" applyNumberFormat="1" applyFont="1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165" fontId="5" fillId="0" borderId="100" xfId="7" applyNumberFormat="1" applyFont="1" applyFill="1" applyBorder="1" applyAlignment="1">
      <alignment horizontal="right" vertical="center"/>
    </xf>
    <xf numFmtId="0" fontId="0" fillId="0" borderId="101" xfId="0" applyFill="1" applyBorder="1" applyAlignment="1">
      <alignment horizontal="right" vertical="center"/>
    </xf>
    <xf numFmtId="165" fontId="5" fillId="0" borderId="80" xfId="7" applyNumberFormat="1" applyFont="1" applyFill="1" applyBorder="1" applyAlignment="1">
      <alignment horizontal="right" vertical="center"/>
    </xf>
    <xf numFmtId="49" fontId="5" fillId="0" borderId="80" xfId="7" applyNumberFormat="1" applyFont="1" applyFill="1" applyBorder="1" applyAlignment="1">
      <alignment horizontal="center" vertical="center"/>
    </xf>
    <xf numFmtId="0" fontId="0" fillId="0" borderId="22" xfId="0" applyFill="1" applyBorder="1" applyAlignment="1">
      <alignment vertical="center"/>
    </xf>
    <xf numFmtId="0" fontId="0" fillId="0" borderId="15" xfId="0" applyFill="1" applyBorder="1" applyAlignment="1">
      <alignment vertical="center" wrapText="1"/>
    </xf>
    <xf numFmtId="0" fontId="0" fillId="0" borderId="71" xfId="0" applyFill="1" applyBorder="1" applyAlignment="1">
      <alignment vertical="center" wrapText="1"/>
    </xf>
    <xf numFmtId="0" fontId="0" fillId="0" borderId="77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29" xfId="0" applyFill="1" applyBorder="1" applyAlignment="1">
      <alignment vertical="center" wrapText="1"/>
    </xf>
    <xf numFmtId="0" fontId="0" fillId="0" borderId="43" xfId="0" applyFill="1" applyBorder="1" applyAlignment="1">
      <alignment vertical="center" wrapText="1"/>
    </xf>
    <xf numFmtId="0" fontId="0" fillId="0" borderId="44" xfId="0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1" fontId="5" fillId="0" borderId="56" xfId="7" applyNumberFormat="1" applyFont="1" applyFill="1" applyBorder="1" applyAlignment="1">
      <alignment horizontal="right" vertical="center"/>
    </xf>
    <xf numFmtId="1" fontId="5" fillId="0" borderId="55" xfId="7" applyNumberFormat="1" applyFont="1" applyFill="1" applyBorder="1" applyAlignment="1">
      <alignment horizontal="right" vertical="center"/>
    </xf>
    <xf numFmtId="1" fontId="5" fillId="0" borderId="12" xfId="7" applyNumberFormat="1" applyFont="1" applyFill="1" applyBorder="1" applyAlignment="1">
      <alignment horizontal="right" vertical="center"/>
    </xf>
    <xf numFmtId="1" fontId="5" fillId="0" borderId="13" xfId="7" applyNumberFormat="1" applyFont="1" applyFill="1" applyBorder="1" applyAlignment="1">
      <alignment horizontal="right" vertical="center"/>
    </xf>
    <xf numFmtId="1" fontId="5" fillId="0" borderId="22" xfId="7" applyNumberFormat="1" applyFont="1" applyFill="1" applyBorder="1" applyAlignment="1">
      <alignment horizontal="right" vertical="center"/>
    </xf>
    <xf numFmtId="1" fontId="5" fillId="0" borderId="91" xfId="7" applyNumberFormat="1" applyFont="1" applyFill="1" applyBorder="1" applyAlignment="1">
      <alignment horizontal="right" vertical="center"/>
    </xf>
    <xf numFmtId="1" fontId="5" fillId="0" borderId="78" xfId="7" applyNumberFormat="1" applyFont="1" applyFill="1" applyBorder="1" applyAlignment="1">
      <alignment horizontal="center" vertical="center"/>
    </xf>
    <xf numFmtId="1" fontId="5" fillId="0" borderId="55" xfId="7" applyNumberFormat="1" applyFont="1" applyFill="1" applyBorder="1" applyAlignment="1">
      <alignment horizontal="center" vertical="center"/>
    </xf>
    <xf numFmtId="1" fontId="5" fillId="0" borderId="56" xfId="7" applyNumberFormat="1" applyFont="1" applyFill="1" applyBorder="1" applyAlignment="1">
      <alignment horizontal="center" vertical="center"/>
    </xf>
    <xf numFmtId="1" fontId="5" fillId="0" borderId="70" xfId="7" applyNumberFormat="1" applyFont="1" applyFill="1" applyBorder="1" applyAlignment="1">
      <alignment horizontal="left" vertical="center"/>
    </xf>
    <xf numFmtId="1" fontId="5" fillId="0" borderId="60" xfId="7" applyNumberFormat="1" applyFont="1" applyFill="1" applyBorder="1" applyAlignment="1">
      <alignment horizontal="left" vertical="center"/>
    </xf>
    <xf numFmtId="1" fontId="5" fillId="0" borderId="2" xfId="7" applyNumberFormat="1" applyFont="1" applyFill="1" applyBorder="1" applyAlignment="1">
      <alignment horizontal="left" vertical="center"/>
    </xf>
    <xf numFmtId="1" fontId="5" fillId="0" borderId="70" xfId="7" applyNumberFormat="1" applyFont="1" applyFill="1" applyBorder="1" applyAlignment="1">
      <alignment horizontal="right" vertical="center"/>
    </xf>
    <xf numFmtId="1" fontId="5" fillId="0" borderId="24" xfId="7" applyNumberFormat="1" applyFont="1" applyFill="1" applyBorder="1" applyAlignment="1">
      <alignment horizontal="left" vertical="center"/>
    </xf>
    <xf numFmtId="1" fontId="5" fillId="0" borderId="91" xfId="7" applyNumberFormat="1" applyFont="1" applyFill="1" applyBorder="1" applyAlignment="1">
      <alignment horizontal="center" vertical="center"/>
    </xf>
    <xf numFmtId="1" fontId="4" fillId="0" borderId="60" xfId="7" applyNumberFormat="1" applyFont="1" applyFill="1" applyBorder="1" applyAlignment="1">
      <alignment horizontal="left" vertical="top"/>
    </xf>
    <xf numFmtId="1" fontId="4" fillId="0" borderId="22" xfId="7" applyNumberFormat="1" applyFont="1" applyFill="1" applyBorder="1" applyAlignment="1">
      <alignment horizontal="left" vertical="top"/>
    </xf>
    <xf numFmtId="1" fontId="4" fillId="0" borderId="60" xfId="7" applyNumberFormat="1" applyFont="1" applyFill="1" applyBorder="1" applyAlignment="1">
      <alignment horizontal="right" vertical="top"/>
    </xf>
    <xf numFmtId="1" fontId="4" fillId="0" borderId="22" xfId="7" applyNumberFormat="1" applyFont="1" applyFill="1" applyBorder="1" applyAlignment="1">
      <alignment horizontal="right" vertical="top"/>
    </xf>
    <xf numFmtId="1" fontId="4" fillId="0" borderId="79" xfId="7" applyNumberFormat="1" applyFont="1" applyFill="1" applyBorder="1" applyAlignment="1">
      <alignment horizontal="right" vertical="top"/>
    </xf>
    <xf numFmtId="1" fontId="4" fillId="0" borderId="91" xfId="7" applyNumberFormat="1" applyFont="1" applyFill="1" applyBorder="1" applyAlignment="1">
      <alignment horizontal="right" vertical="top"/>
    </xf>
    <xf numFmtId="0" fontId="5" fillId="0" borderId="70" xfId="0" applyNumberFormat="1" applyFont="1" applyFill="1" applyBorder="1" applyAlignment="1">
      <alignment horizontal="right" vertical="center"/>
    </xf>
    <xf numFmtId="0" fontId="5" fillId="0" borderId="22" xfId="0" applyNumberFormat="1" applyFont="1" applyFill="1" applyBorder="1" applyAlignment="1">
      <alignment horizontal="right" vertical="center"/>
    </xf>
    <xf numFmtId="49" fontId="5" fillId="0" borderId="2" xfId="7" applyNumberFormat="1" applyFont="1" applyFill="1" applyBorder="1" applyAlignment="1">
      <alignment horizontal="left" vertical="center" wrapText="1"/>
    </xf>
    <xf numFmtId="49" fontId="5" fillId="0" borderId="70" xfId="7" applyNumberFormat="1" applyFont="1" applyFill="1" applyBorder="1" applyAlignment="1">
      <alignment horizontal="left" vertical="center" wrapText="1"/>
    </xf>
    <xf numFmtId="49" fontId="5" fillId="0" borderId="22" xfId="7" applyNumberFormat="1" applyFont="1" applyFill="1" applyBorder="1" applyAlignment="1">
      <alignment horizontal="left" vertical="center" wrapText="1"/>
    </xf>
    <xf numFmtId="0" fontId="18" fillId="0" borderId="0" xfId="3" applyFont="1" applyFill="1" applyAlignment="1">
      <alignment horizontal="center" vertical="top" wrapText="1"/>
    </xf>
    <xf numFmtId="49" fontId="5" fillId="0" borderId="84" xfId="7" applyNumberFormat="1" applyFont="1" applyFill="1" applyBorder="1" applyAlignment="1">
      <alignment horizontal="left" vertical="center" wrapText="1"/>
    </xf>
    <xf numFmtId="49" fontId="5" fillId="0" borderId="24" xfId="7" applyNumberFormat="1" applyFont="1" applyFill="1" applyBorder="1" applyAlignment="1">
      <alignment horizontal="left" vertical="center" wrapText="1"/>
    </xf>
    <xf numFmtId="49" fontId="5" fillId="0" borderId="24" xfId="7" applyNumberFormat="1" applyFont="1" applyFill="1" applyBorder="1" applyAlignment="1">
      <alignment horizontal="left" vertical="center"/>
    </xf>
    <xf numFmtId="0" fontId="10" fillId="0" borderId="36" xfId="0" applyFont="1" applyFill="1" applyBorder="1" applyAlignment="1">
      <alignment vertical="top"/>
    </xf>
    <xf numFmtId="0" fontId="10" fillId="0" borderId="89" xfId="0" applyFont="1" applyFill="1" applyBorder="1" applyAlignment="1">
      <alignment vertical="top"/>
    </xf>
    <xf numFmtId="49" fontId="5" fillId="0" borderId="36" xfId="7" applyNumberFormat="1" applyFont="1" applyFill="1" applyBorder="1" applyAlignment="1">
      <alignment horizontal="left" vertical="top" wrapText="1"/>
    </xf>
    <xf numFmtId="0" fontId="0" fillId="0" borderId="36" xfId="0" applyFill="1" applyBorder="1" applyAlignment="1">
      <alignment horizontal="left" vertical="top" wrapText="1"/>
    </xf>
    <xf numFmtId="0" fontId="0" fillId="0" borderId="85" xfId="0" applyFill="1" applyBorder="1" applyAlignment="1">
      <alignment horizontal="left" vertical="top" wrapText="1"/>
    </xf>
    <xf numFmtId="0" fontId="10" fillId="0" borderId="44" xfId="0" applyFont="1" applyFill="1" applyBorder="1" applyAlignment="1">
      <alignment vertical="top"/>
    </xf>
    <xf numFmtId="49" fontId="4" fillId="0" borderId="40" xfId="7" applyNumberFormat="1" applyFont="1" applyFill="1" applyBorder="1" applyAlignment="1">
      <alignment horizontal="left" vertical="top" wrapText="1"/>
    </xf>
    <xf numFmtId="0" fontId="10" fillId="0" borderId="36" xfId="0" applyFont="1" applyFill="1" applyBorder="1" applyAlignment="1">
      <alignment horizontal="left" vertical="top" wrapText="1"/>
    </xf>
    <xf numFmtId="0" fontId="10" fillId="0" borderId="85" xfId="0" applyFont="1" applyFill="1" applyBorder="1" applyAlignment="1">
      <alignment horizontal="left" vertical="top" wrapText="1"/>
    </xf>
    <xf numFmtId="49" fontId="5" fillId="0" borderId="70" xfId="7" applyNumberFormat="1" applyFont="1" applyFill="1" applyBorder="1" applyAlignment="1">
      <alignment horizontal="left" vertical="center"/>
    </xf>
    <xf numFmtId="49" fontId="5" fillId="0" borderId="60" xfId="7" applyNumberFormat="1" applyFont="1" applyFill="1" applyBorder="1" applyAlignment="1">
      <alignment horizontal="left" vertical="center"/>
    </xf>
    <xf numFmtId="1" fontId="5" fillId="0" borderId="60" xfId="7" applyNumberFormat="1" applyFont="1" applyFill="1" applyBorder="1" applyAlignment="1">
      <alignment horizontal="right" vertical="center"/>
    </xf>
    <xf numFmtId="1" fontId="5" fillId="0" borderId="78" xfId="7" applyNumberFormat="1" applyFont="1" applyFill="1" applyBorder="1" applyAlignment="1">
      <alignment horizontal="right" vertical="center"/>
    </xf>
    <xf numFmtId="1" fontId="5" fillId="0" borderId="79" xfId="7" applyNumberFormat="1" applyFont="1" applyFill="1" applyBorder="1" applyAlignment="1">
      <alignment horizontal="right" vertical="center"/>
    </xf>
    <xf numFmtId="0" fontId="18" fillId="0" borderId="69" xfId="3" applyFont="1" applyFill="1" applyBorder="1" applyAlignment="1">
      <alignment horizontal="center" vertical="center" wrapText="1"/>
    </xf>
    <xf numFmtId="49" fontId="5" fillId="0" borderId="40" xfId="7" applyNumberFormat="1" applyFont="1" applyFill="1" applyBorder="1" applyAlignment="1">
      <alignment horizontal="left" vertical="center" wrapText="1"/>
    </xf>
    <xf numFmtId="0" fontId="0" fillId="0" borderId="36" xfId="0" applyFill="1" applyBorder="1" applyAlignment="1">
      <alignment vertical="center" wrapText="1"/>
    </xf>
    <xf numFmtId="0" fontId="0" fillId="0" borderId="85" xfId="0" applyFill="1" applyBorder="1" applyAlignment="1">
      <alignment vertical="center" wrapText="1"/>
    </xf>
    <xf numFmtId="49" fontId="5" fillId="0" borderId="0" xfId="7" applyNumberFormat="1" applyFont="1" applyFill="1" applyBorder="1" applyAlignment="1">
      <alignment horizontal="left" vertical="top" wrapText="1"/>
    </xf>
    <xf numFmtId="49" fontId="5" fillId="0" borderId="29" xfId="7" applyNumberFormat="1" applyFont="1" applyFill="1" applyBorder="1" applyAlignment="1">
      <alignment horizontal="left" vertical="top" wrapText="1"/>
    </xf>
    <xf numFmtId="0" fontId="0" fillId="0" borderId="29" xfId="0" applyFill="1" applyBorder="1" applyAlignment="1">
      <alignment vertical="top"/>
    </xf>
    <xf numFmtId="0" fontId="4" fillId="0" borderId="76" xfId="3" applyFont="1" applyFill="1" applyBorder="1" applyAlignment="1">
      <alignment horizontal="right" vertical="top"/>
    </xf>
    <xf numFmtId="0" fontId="4" fillId="0" borderId="15" xfId="3" applyFont="1" applyFill="1" applyBorder="1" applyAlignment="1">
      <alignment horizontal="right" vertical="top"/>
    </xf>
    <xf numFmtId="0" fontId="4" fillId="0" borderId="73" xfId="3" applyFont="1" applyFill="1" applyBorder="1" applyAlignment="1">
      <alignment horizontal="right" vertical="top"/>
    </xf>
    <xf numFmtId="0" fontId="10" fillId="0" borderId="36" xfId="0" applyFont="1" applyFill="1" applyBorder="1" applyAlignment="1">
      <alignment horizontal="right" vertical="top"/>
    </xf>
    <xf numFmtId="0" fontId="10" fillId="0" borderId="89" xfId="0" applyFont="1" applyFill="1" applyBorder="1" applyAlignment="1">
      <alignment horizontal="right" vertical="top"/>
    </xf>
    <xf numFmtId="0" fontId="5" fillId="0" borderId="18" xfId="0" applyFont="1" applyFill="1" applyBorder="1" applyAlignment="1">
      <alignment horizontal="center" vertical="center" textRotation="90" wrapText="1"/>
    </xf>
    <xf numFmtId="0" fontId="5" fillId="0" borderId="77" xfId="0" applyFont="1" applyFill="1" applyBorder="1" applyAlignment="1">
      <alignment horizontal="center" vertical="center" textRotation="90" wrapText="1"/>
    </xf>
    <xf numFmtId="49" fontId="5" fillId="0" borderId="36" xfId="7" applyNumberFormat="1" applyFont="1" applyFill="1" applyBorder="1" applyAlignment="1">
      <alignment horizontal="left" vertical="center" wrapText="1"/>
    </xf>
    <xf numFmtId="49" fontId="5" fillId="0" borderId="85" xfId="7" applyNumberFormat="1" applyFont="1" applyFill="1" applyBorder="1" applyAlignment="1">
      <alignment horizontal="left" vertical="center" wrapText="1"/>
    </xf>
    <xf numFmtId="49" fontId="5" fillId="0" borderId="57" xfId="0" applyNumberFormat="1" applyFont="1" applyFill="1" applyBorder="1" applyAlignment="1">
      <alignment vertical="center"/>
    </xf>
    <xf numFmtId="49" fontId="5" fillId="0" borderId="70" xfId="0" applyNumberFormat="1" applyFont="1" applyFill="1" applyBorder="1" applyAlignment="1">
      <alignment vertical="center" wrapText="1"/>
    </xf>
    <xf numFmtId="0" fontId="0" fillId="0" borderId="22" xfId="0" applyFill="1" applyBorder="1" applyAlignment="1">
      <alignment vertical="center" wrapText="1"/>
    </xf>
    <xf numFmtId="165" fontId="5" fillId="0" borderId="70" xfId="7" applyNumberFormat="1" applyFont="1" applyFill="1" applyBorder="1" applyAlignment="1">
      <alignment vertical="center"/>
    </xf>
    <xf numFmtId="0" fontId="0" fillId="0" borderId="60" xfId="0" applyFill="1" applyBorder="1" applyAlignment="1">
      <alignment vertical="center"/>
    </xf>
    <xf numFmtId="0" fontId="0" fillId="0" borderId="36" xfId="0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49" fontId="5" fillId="0" borderId="73" xfId="7" applyNumberFormat="1" applyFont="1" applyFill="1" applyBorder="1" applyAlignment="1">
      <alignment horizontal="center" vertical="center" textRotation="90" wrapText="1"/>
    </xf>
    <xf numFmtId="0" fontId="0" fillId="0" borderId="74" xfId="0" applyFill="1" applyBorder="1" applyAlignment="1">
      <alignment horizontal="center" vertical="center" textRotation="90" wrapText="1"/>
    </xf>
    <xf numFmtId="0" fontId="0" fillId="0" borderId="75" xfId="0" applyFill="1" applyBorder="1" applyAlignment="1">
      <alignment horizontal="center" vertical="center" textRotation="90" wrapText="1"/>
    </xf>
    <xf numFmtId="165" fontId="5" fillId="0" borderId="57" xfId="7" applyNumberFormat="1" applyFont="1" applyFill="1" applyBorder="1" applyAlignment="1">
      <alignment vertical="top"/>
    </xf>
    <xf numFmtId="0" fontId="5" fillId="0" borderId="12" xfId="0" applyFont="1" applyBorder="1" applyAlignment="1">
      <alignment vertical="top"/>
    </xf>
    <xf numFmtId="1" fontId="5" fillId="0" borderId="70" xfId="7" applyNumberFormat="1" applyFont="1" applyFill="1" applyBorder="1" applyAlignment="1">
      <alignment horizontal="left" vertical="center" wrapText="1"/>
    </xf>
    <xf numFmtId="1" fontId="5" fillId="0" borderId="13" xfId="7" applyNumberFormat="1" applyFont="1" applyFill="1" applyBorder="1" applyAlignment="1">
      <alignment horizontal="left" vertical="center" wrapText="1"/>
    </xf>
    <xf numFmtId="165" fontId="15" fillId="0" borderId="24" xfId="7" applyNumberFormat="1" applyFont="1" applyFill="1" applyBorder="1" applyAlignment="1">
      <alignment horizontal="right" vertical="center"/>
    </xf>
    <xf numFmtId="165" fontId="5" fillId="0" borderId="24" xfId="7" applyNumberFormat="1" applyFont="1" applyFill="1" applyBorder="1" applyAlignment="1">
      <alignment horizontal="right" vertical="center"/>
    </xf>
    <xf numFmtId="0" fontId="13" fillId="0" borderId="74" xfId="3" applyFont="1" applyFill="1" applyBorder="1" applyAlignment="1">
      <alignment horizontal="right" vertical="top"/>
    </xf>
    <xf numFmtId="49" fontId="5" fillId="0" borderId="57" xfId="0" applyNumberFormat="1" applyFont="1" applyFill="1" applyBorder="1" applyAlignment="1">
      <alignment horizontal="left" vertical="center" wrapText="1"/>
    </xf>
    <xf numFmtId="49" fontId="5" fillId="0" borderId="24" xfId="0" applyNumberFormat="1" applyFont="1" applyFill="1" applyBorder="1" applyAlignment="1">
      <alignment horizontal="left" vertical="center" wrapText="1"/>
    </xf>
    <xf numFmtId="49" fontId="5" fillId="0" borderId="24" xfId="7" applyNumberFormat="1" applyFont="1" applyFill="1" applyBorder="1" applyAlignment="1">
      <alignment horizontal="center" vertical="center"/>
    </xf>
    <xf numFmtId="0" fontId="13" fillId="0" borderId="44" xfId="3" applyFont="1" applyFill="1" applyBorder="1" applyAlignment="1">
      <alignment horizontal="right" vertical="top"/>
    </xf>
    <xf numFmtId="0" fontId="13" fillId="0" borderId="75" xfId="3" applyFont="1" applyFill="1" applyBorder="1" applyAlignment="1">
      <alignment horizontal="right" vertical="top"/>
    </xf>
    <xf numFmtId="0" fontId="10" fillId="0" borderId="15" xfId="0" applyFont="1" applyFill="1" applyBorder="1" applyAlignment="1">
      <alignment vertical="top"/>
    </xf>
    <xf numFmtId="49" fontId="5" fillId="0" borderId="86" xfId="7" applyNumberFormat="1" applyFont="1" applyFill="1" applyBorder="1" applyAlignment="1">
      <alignment horizontal="left" vertical="center" wrapText="1"/>
    </xf>
    <xf numFmtId="49" fontId="5" fillId="0" borderId="16" xfId="7" applyNumberFormat="1" applyFont="1" applyFill="1" applyBorder="1" applyAlignment="1">
      <alignment horizontal="left" vertical="center" wrapText="1"/>
    </xf>
    <xf numFmtId="49" fontId="5" fillId="0" borderId="53" xfId="7" applyNumberFormat="1" applyFont="1" applyFill="1" applyBorder="1" applyAlignment="1">
      <alignment horizontal="left" vertical="center" wrapText="1"/>
    </xf>
    <xf numFmtId="0" fontId="0" fillId="0" borderId="77" xfId="0" applyBorder="1" applyAlignment="1">
      <alignment horizontal="center" vertical="center" textRotation="90" wrapText="1"/>
    </xf>
    <xf numFmtId="0" fontId="0" fillId="0" borderId="43" xfId="0" applyBorder="1" applyAlignment="1">
      <alignment horizontal="center" vertical="center" textRotation="90" wrapText="1"/>
    </xf>
    <xf numFmtId="0" fontId="5" fillId="0" borderId="81" xfId="3" applyFont="1" applyFill="1" applyBorder="1" applyAlignment="1">
      <alignment horizontal="left" vertical="top" wrapText="1"/>
    </xf>
    <xf numFmtId="0" fontId="5" fillId="0" borderId="57" xfId="0" applyFont="1" applyBorder="1" applyAlignment="1">
      <alignment horizontal="left" vertical="top"/>
    </xf>
    <xf numFmtId="0" fontId="5" fillId="0" borderId="84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57" xfId="0" applyFont="1" applyFill="1" applyBorder="1" applyAlignment="1">
      <alignment vertical="top"/>
    </xf>
    <xf numFmtId="0" fontId="5" fillId="0" borderId="24" xfId="0" applyFont="1" applyBorder="1" applyAlignment="1">
      <alignment vertical="top"/>
    </xf>
    <xf numFmtId="49" fontId="5" fillId="0" borderId="74" xfId="7" applyNumberFormat="1" applyFont="1" applyFill="1" applyBorder="1" applyAlignment="1">
      <alignment horizontal="center" vertical="center" textRotation="90" wrapText="1"/>
    </xf>
    <xf numFmtId="0" fontId="0" fillId="0" borderId="77" xfId="0" applyFill="1" applyBorder="1" applyAlignment="1">
      <alignment horizontal="left" vertical="center" wrapText="1"/>
    </xf>
    <xf numFmtId="49" fontId="5" fillId="0" borderId="60" xfId="0" applyNumberFormat="1" applyFont="1" applyFill="1" applyBorder="1" applyAlignment="1">
      <alignment horizontal="left" vertical="center"/>
    </xf>
    <xf numFmtId="0" fontId="0" fillId="0" borderId="36" xfId="0" applyFill="1" applyBorder="1" applyAlignment="1"/>
    <xf numFmtId="0" fontId="10" fillId="0" borderId="0" xfId="0" applyFont="1" applyFill="1" applyBorder="1" applyAlignment="1">
      <alignment vertical="top"/>
    </xf>
    <xf numFmtId="0" fontId="10" fillId="0" borderId="74" xfId="0" applyFont="1" applyFill="1" applyBorder="1" applyAlignment="1">
      <alignment vertical="top"/>
    </xf>
    <xf numFmtId="49" fontId="5" fillId="0" borderId="70" xfId="0" applyNumberFormat="1" applyFont="1" applyFill="1" applyBorder="1" applyAlignment="1">
      <alignment vertical="center"/>
    </xf>
    <xf numFmtId="0" fontId="13" fillId="0" borderId="15" xfId="3" applyFont="1" applyFill="1" applyBorder="1" applyAlignment="1">
      <alignment horizontal="right" vertical="top"/>
    </xf>
    <xf numFmtId="0" fontId="10" fillId="0" borderId="73" xfId="0" applyFont="1" applyFill="1" applyBorder="1" applyAlignment="1">
      <alignment vertical="top"/>
    </xf>
    <xf numFmtId="49" fontId="5" fillId="0" borderId="61" xfId="7" applyNumberFormat="1" applyFont="1" applyFill="1" applyBorder="1" applyAlignment="1">
      <alignment horizontal="left" vertical="center" wrapText="1"/>
    </xf>
    <xf numFmtId="1" fontId="5" fillId="0" borderId="60" xfId="7" applyNumberFormat="1" applyFont="1" applyFill="1" applyBorder="1" applyAlignment="1">
      <alignment horizontal="left" vertical="center" wrapText="1"/>
    </xf>
    <xf numFmtId="0" fontId="0" fillId="0" borderId="53" xfId="0" applyFill="1" applyBorder="1" applyAlignment="1">
      <alignment vertical="center" wrapText="1"/>
    </xf>
    <xf numFmtId="49" fontId="5" fillId="0" borderId="57" xfId="0" applyNumberFormat="1" applyFont="1" applyFill="1" applyBorder="1" applyAlignment="1">
      <alignment vertical="center" wrapText="1"/>
    </xf>
    <xf numFmtId="0" fontId="15" fillId="0" borderId="57" xfId="7" applyNumberFormat="1" applyFont="1" applyFill="1" applyBorder="1" applyAlignment="1">
      <alignment horizontal="right" vertical="center"/>
    </xf>
    <xf numFmtId="165" fontId="5" fillId="0" borderId="57" xfId="7" applyNumberFormat="1" applyFont="1" applyFill="1" applyBorder="1" applyAlignment="1">
      <alignment vertical="center"/>
    </xf>
    <xf numFmtId="0" fontId="13" fillId="0" borderId="36" xfId="3" applyFont="1" applyFill="1" applyBorder="1" applyAlignment="1">
      <alignment horizontal="right"/>
    </xf>
    <xf numFmtId="0" fontId="10" fillId="0" borderId="36" xfId="0" applyFont="1" applyFill="1" applyBorder="1" applyAlignment="1"/>
    <xf numFmtId="0" fontId="10" fillId="0" borderId="89" xfId="0" applyFont="1" applyFill="1" applyBorder="1" applyAlignment="1"/>
    <xf numFmtId="49" fontId="5" fillId="0" borderId="26" xfId="7" applyNumberFormat="1" applyFont="1" applyFill="1" applyBorder="1" applyAlignment="1">
      <alignment horizontal="left" vertical="center"/>
    </xf>
    <xf numFmtId="0" fontId="0" fillId="0" borderId="13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49" fontId="5" fillId="0" borderId="60" xfId="0" applyNumberFormat="1" applyFont="1" applyFill="1" applyBorder="1" applyAlignment="1">
      <alignment vertical="center" wrapText="1"/>
    </xf>
    <xf numFmtId="0" fontId="0" fillId="0" borderId="13" xfId="0" applyFill="1" applyBorder="1" applyAlignment="1">
      <alignment horizontal="center" vertical="center"/>
    </xf>
    <xf numFmtId="165" fontId="15" fillId="0" borderId="70" xfId="7" applyNumberFormat="1" applyFont="1" applyFill="1" applyBorder="1" applyAlignment="1">
      <alignment horizontal="right" vertical="center"/>
    </xf>
    <xf numFmtId="1" fontId="5" fillId="0" borderId="70" xfId="7" applyNumberFormat="1" applyFont="1" applyFill="1" applyBorder="1" applyAlignment="1">
      <alignment vertical="center" wrapText="1"/>
    </xf>
    <xf numFmtId="1" fontId="5" fillId="0" borderId="56" xfId="7" applyNumberFormat="1" applyFont="1" applyFill="1" applyBorder="1" applyAlignment="1">
      <alignment horizontal="right" vertical="center" wrapText="1"/>
    </xf>
    <xf numFmtId="1" fontId="5" fillId="0" borderId="91" xfId="7" applyNumberFormat="1" applyFont="1" applyFill="1" applyBorder="1" applyAlignment="1">
      <alignment horizontal="right" vertical="center" wrapText="1"/>
    </xf>
    <xf numFmtId="1" fontId="5" fillId="0" borderId="70" xfId="7" applyNumberFormat="1" applyFont="1" applyFill="1" applyBorder="1" applyAlignment="1">
      <alignment horizontal="right" vertical="center" shrinkToFit="1"/>
    </xf>
    <xf numFmtId="1" fontId="5" fillId="0" borderId="13" xfId="7" applyNumberFormat="1" applyFont="1" applyFill="1" applyBorder="1" applyAlignment="1">
      <alignment horizontal="right" vertical="center" shrinkToFit="1"/>
    </xf>
    <xf numFmtId="49" fontId="5" fillId="0" borderId="12" xfId="7" applyNumberFormat="1" applyFont="1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165" fontId="15" fillId="0" borderId="12" xfId="7" applyNumberFormat="1" applyFont="1" applyFill="1" applyBorder="1" applyAlignment="1">
      <alignment horizontal="right" vertical="center"/>
    </xf>
    <xf numFmtId="165" fontId="5" fillId="0" borderId="12" xfId="7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left" vertical="center" wrapText="1"/>
    </xf>
    <xf numFmtId="165" fontId="5" fillId="0" borderId="2" xfId="0" applyNumberFormat="1" applyFont="1" applyFill="1" applyBorder="1" applyAlignment="1">
      <alignment horizontal="right" vertical="center"/>
    </xf>
    <xf numFmtId="165" fontId="5" fillId="0" borderId="24" xfId="0" applyNumberFormat="1" applyFont="1" applyFill="1" applyBorder="1" applyAlignment="1">
      <alignment horizontal="right" vertical="center"/>
    </xf>
    <xf numFmtId="1" fontId="5" fillId="0" borderId="12" xfId="7" applyNumberFormat="1" applyFont="1" applyFill="1" applyBorder="1" applyAlignment="1">
      <alignment horizontal="left" vertical="center" wrapText="1"/>
    </xf>
    <xf numFmtId="1" fontId="5" fillId="0" borderId="22" xfId="7" applyNumberFormat="1" applyFont="1" applyFill="1" applyBorder="1" applyAlignment="1">
      <alignment horizontal="left" vertical="center" wrapText="1"/>
    </xf>
    <xf numFmtId="1" fontId="5" fillId="0" borderId="12" xfId="7" applyNumberFormat="1" applyFont="1" applyFill="1" applyBorder="1" applyAlignment="1">
      <alignment horizontal="right" vertical="center" wrapText="1"/>
    </xf>
    <xf numFmtId="1" fontId="5" fillId="0" borderId="22" xfId="7" applyNumberFormat="1" applyFont="1" applyFill="1" applyBorder="1" applyAlignment="1">
      <alignment horizontal="right" vertical="center" wrapText="1"/>
    </xf>
    <xf numFmtId="0" fontId="13" fillId="0" borderId="73" xfId="3" applyFont="1" applyFill="1" applyBorder="1" applyAlignment="1">
      <alignment horizontal="right" vertical="top"/>
    </xf>
    <xf numFmtId="0" fontId="0" fillId="0" borderId="91" xfId="0" applyFill="1" applyBorder="1" applyAlignment="1">
      <alignment horizontal="right" vertical="center"/>
    </xf>
    <xf numFmtId="0" fontId="0" fillId="0" borderId="89" xfId="0" applyFill="1" applyBorder="1" applyAlignment="1">
      <alignment horizontal="right"/>
    </xf>
    <xf numFmtId="0" fontId="0" fillId="0" borderId="43" xfId="0" applyFill="1" applyBorder="1" applyAlignment="1">
      <alignment horizontal="center" vertical="center" textRotation="90" wrapText="1"/>
    </xf>
    <xf numFmtId="49" fontId="5" fillId="0" borderId="43" xfId="7" applyNumberFormat="1" applyFont="1" applyFill="1" applyBorder="1" applyAlignment="1">
      <alignment horizontal="left" vertical="center" wrapText="1"/>
    </xf>
    <xf numFmtId="49" fontId="5" fillId="0" borderId="44" xfId="7" applyNumberFormat="1" applyFont="1" applyFill="1" applyBorder="1" applyAlignment="1">
      <alignment horizontal="left" vertical="center" wrapText="1"/>
    </xf>
    <xf numFmtId="49" fontId="5" fillId="0" borderId="72" xfId="7" applyNumberFormat="1" applyFont="1" applyFill="1" applyBorder="1" applyAlignment="1">
      <alignment horizontal="left" vertical="center" wrapText="1"/>
    </xf>
    <xf numFmtId="49" fontId="5" fillId="0" borderId="70" xfId="0" applyNumberFormat="1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right"/>
    </xf>
    <xf numFmtId="49" fontId="4" fillId="0" borderId="40" xfId="7" applyNumberFormat="1" applyFont="1" applyFill="1" applyBorder="1" applyAlignment="1">
      <alignment horizontal="right" vertical="top"/>
    </xf>
    <xf numFmtId="0" fontId="4" fillId="0" borderId="77" xfId="3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0" fontId="4" fillId="0" borderId="74" xfId="0" applyFont="1" applyFill="1" applyBorder="1" applyAlignment="1">
      <alignment vertical="top"/>
    </xf>
    <xf numFmtId="0" fontId="5" fillId="0" borderId="76" xfId="7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vertical="top"/>
    </xf>
    <xf numFmtId="0" fontId="10" fillId="0" borderId="36" xfId="0" applyFont="1" applyFill="1" applyBorder="1" applyAlignment="1">
      <alignment horizontal="right"/>
    </xf>
    <xf numFmtId="0" fontId="10" fillId="0" borderId="89" xfId="0" applyFont="1" applyFill="1" applyBorder="1" applyAlignment="1">
      <alignment horizontal="right"/>
    </xf>
    <xf numFmtId="165" fontId="5" fillId="0" borderId="60" xfId="7" applyNumberFormat="1" applyFont="1" applyFill="1" applyBorder="1" applyAlignment="1">
      <alignment horizontal="right" vertical="center"/>
    </xf>
    <xf numFmtId="0" fontId="5" fillId="0" borderId="70" xfId="7" applyNumberFormat="1" applyFont="1" applyFill="1" applyBorder="1" applyAlignment="1">
      <alignment horizontal="right" vertical="center"/>
    </xf>
    <xf numFmtId="0" fontId="5" fillId="0" borderId="60" xfId="7" applyNumberFormat="1" applyFont="1" applyFill="1" applyBorder="1" applyAlignment="1">
      <alignment horizontal="right" vertical="center"/>
    </xf>
    <xf numFmtId="49" fontId="13" fillId="0" borderId="36" xfId="7" applyNumberFormat="1" applyFont="1" applyFill="1" applyBorder="1" applyAlignment="1">
      <alignment horizontal="right" vertical="top"/>
    </xf>
    <xf numFmtId="49" fontId="13" fillId="0" borderId="89" xfId="7" applyNumberFormat="1" applyFont="1" applyFill="1" applyBorder="1" applyAlignment="1">
      <alignment horizontal="right" vertical="top"/>
    </xf>
    <xf numFmtId="0" fontId="13" fillId="0" borderId="89" xfId="3" applyFont="1" applyFill="1" applyBorder="1" applyAlignment="1">
      <alignment horizontal="right" vertical="top"/>
    </xf>
    <xf numFmtId="49" fontId="5" fillId="0" borderId="60" xfId="7" applyNumberFormat="1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73" xfId="0" applyFill="1" applyBorder="1" applyAlignment="1">
      <alignment vertical="top"/>
    </xf>
    <xf numFmtId="49" fontId="5" fillId="0" borderId="22" xfId="7" applyNumberFormat="1" applyFont="1" applyFill="1" applyBorder="1" applyAlignment="1">
      <alignment horizontal="center" vertical="center"/>
    </xf>
    <xf numFmtId="0" fontId="0" fillId="0" borderId="89" xfId="0" applyFill="1" applyBorder="1" applyAlignment="1"/>
    <xf numFmtId="1" fontId="5" fillId="0" borderId="58" xfId="7" applyNumberFormat="1" applyFont="1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1" fontId="5" fillId="0" borderId="60" xfId="7" applyNumberFormat="1" applyFont="1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1" fontId="5" fillId="0" borderId="60" xfId="7" applyNumberFormat="1" applyFont="1" applyFill="1" applyBorder="1" applyAlignment="1">
      <alignment vertical="center"/>
    </xf>
    <xf numFmtId="1" fontId="5" fillId="0" borderId="79" xfId="7" applyNumberFormat="1" applyFont="1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165" fontId="5" fillId="0" borderId="57" xfId="7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1" fontId="5" fillId="0" borderId="57" xfId="7" applyNumberFormat="1" applyFont="1" applyFill="1" applyBorder="1" applyAlignment="1">
      <alignment vertical="center"/>
    </xf>
    <xf numFmtId="165" fontId="5" fillId="0" borderId="60" xfId="7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1" fontId="5" fillId="0" borderId="12" xfId="7" applyNumberFormat="1" applyFont="1" applyFill="1" applyBorder="1" applyAlignment="1">
      <alignment vertical="center" wrapText="1"/>
    </xf>
    <xf numFmtId="1" fontId="5" fillId="0" borderId="22" xfId="7" applyNumberFormat="1" applyFont="1" applyFill="1" applyBorder="1" applyAlignment="1">
      <alignment vertical="center" wrapText="1"/>
    </xf>
    <xf numFmtId="1" fontId="5" fillId="0" borderId="56" xfId="7" applyNumberFormat="1" applyFont="1" applyFill="1" applyBorder="1" applyAlignment="1">
      <alignment vertical="center" wrapText="1"/>
    </xf>
    <xf numFmtId="1" fontId="5" fillId="0" borderId="91" xfId="7" applyNumberFormat="1" applyFont="1" applyFill="1" applyBorder="1" applyAlignment="1">
      <alignment vertical="center" wrapText="1"/>
    </xf>
    <xf numFmtId="165" fontId="5" fillId="0" borderId="12" xfId="7" applyNumberFormat="1" applyFont="1" applyFill="1" applyBorder="1" applyAlignment="1">
      <alignment horizontal="left" vertical="center" wrapText="1"/>
    </xf>
    <xf numFmtId="165" fontId="5" fillId="0" borderId="22" xfId="7" applyNumberFormat="1" applyFont="1" applyFill="1" applyBorder="1" applyAlignment="1">
      <alignment horizontal="left" vertical="center" wrapText="1"/>
    </xf>
    <xf numFmtId="0" fontId="2" fillId="0" borderId="0" xfId="8" applyFont="1" applyFill="1" applyAlignment="1">
      <alignment horizontal="left" vertical="top" wrapText="1"/>
    </xf>
    <xf numFmtId="165" fontId="0" fillId="0" borderId="60" xfId="0" applyNumberFormat="1" applyFill="1" applyBorder="1" applyAlignment="1">
      <alignment vertical="center"/>
    </xf>
    <xf numFmtId="165" fontId="0" fillId="0" borderId="22" xfId="0" applyNumberFormat="1" applyFill="1" applyBorder="1" applyAlignment="1">
      <alignment vertical="center"/>
    </xf>
    <xf numFmtId="0" fontId="10" fillId="0" borderId="15" xfId="0" applyFont="1" applyFill="1" applyBorder="1" applyAlignment="1">
      <alignment horizontal="right" vertical="top"/>
    </xf>
    <xf numFmtId="0" fontId="10" fillId="0" borderId="73" xfId="0" applyFont="1" applyFill="1" applyBorder="1" applyAlignment="1">
      <alignment horizontal="right" vertical="top"/>
    </xf>
    <xf numFmtId="0" fontId="0" fillId="0" borderId="0" xfId="0" applyFill="1" applyAlignment="1">
      <alignment horizontal="left" vertical="center" wrapText="1"/>
    </xf>
    <xf numFmtId="49" fontId="5" fillId="0" borderId="29" xfId="7" applyNumberFormat="1" applyFont="1" applyFill="1" applyBorder="1" applyAlignment="1">
      <alignment vertical="center" wrapText="1"/>
    </xf>
    <xf numFmtId="0" fontId="5" fillId="0" borderId="76" xfId="0" applyFont="1" applyFill="1" applyBorder="1" applyAlignment="1">
      <alignment horizontal="center" vertical="center" textRotation="90" wrapText="1"/>
    </xf>
    <xf numFmtId="49" fontId="5" fillId="0" borderId="90" xfId="7" applyNumberFormat="1" applyFont="1" applyFill="1" applyBorder="1" applyAlignment="1">
      <alignment vertical="center" wrapText="1"/>
    </xf>
    <xf numFmtId="0" fontId="10" fillId="0" borderId="75" xfId="0" applyFont="1" applyFill="1" applyBorder="1" applyAlignment="1">
      <alignment vertical="top"/>
    </xf>
    <xf numFmtId="1" fontId="5" fillId="0" borderId="70" xfId="7" applyNumberFormat="1" applyFont="1" applyFill="1" applyBorder="1" applyAlignment="1">
      <alignment horizontal="center" vertical="center"/>
    </xf>
    <xf numFmtId="165" fontId="0" fillId="0" borderId="13" xfId="0" applyNumberFormat="1" applyFill="1" applyBorder="1" applyAlignment="1">
      <alignment vertical="center"/>
    </xf>
    <xf numFmtId="0" fontId="0" fillId="0" borderId="91" xfId="0" applyFill="1" applyBorder="1" applyAlignment="1">
      <alignment horizontal="center" vertical="center"/>
    </xf>
    <xf numFmtId="0" fontId="5" fillId="0" borderId="57" xfId="0" applyFont="1" applyFill="1" applyBorder="1" applyAlignment="1">
      <alignment horizontal="left" vertical="center" wrapText="1"/>
    </xf>
    <xf numFmtId="0" fontId="5" fillId="0" borderId="84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/>
    </xf>
    <xf numFmtId="49" fontId="5" fillId="0" borderId="15" xfId="7" applyNumberFormat="1" applyFont="1" applyFill="1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center" vertical="center" textRotation="90" wrapText="1"/>
    </xf>
    <xf numFmtId="49" fontId="5" fillId="0" borderId="60" xfId="0" applyNumberFormat="1" applyFont="1" applyFill="1" applyBorder="1" applyAlignment="1">
      <alignment vertical="center"/>
    </xf>
    <xf numFmtId="165" fontId="5" fillId="0" borderId="22" xfId="7" applyNumberFormat="1" applyFont="1" applyFill="1" applyBorder="1" applyAlignment="1">
      <alignment horizontal="right" vertical="center"/>
    </xf>
    <xf numFmtId="165" fontId="5" fillId="0" borderId="70" xfId="0" applyNumberFormat="1" applyFont="1" applyFill="1" applyBorder="1" applyAlignment="1">
      <alignment horizontal="right" vertical="center"/>
    </xf>
    <xf numFmtId="165" fontId="5" fillId="0" borderId="60" xfId="0" applyNumberFormat="1" applyFont="1" applyFill="1" applyBorder="1" applyAlignment="1">
      <alignment horizontal="right" vertical="center"/>
    </xf>
    <xf numFmtId="165" fontId="5" fillId="0" borderId="22" xfId="0" applyNumberFormat="1" applyFont="1" applyFill="1" applyBorder="1" applyAlignment="1">
      <alignment horizontal="right" vertical="center"/>
    </xf>
    <xf numFmtId="0" fontId="2" fillId="0" borderId="60" xfId="0" applyFont="1" applyFill="1" applyBorder="1" applyAlignment="1">
      <alignment vertical="center"/>
    </xf>
    <xf numFmtId="0" fontId="0" fillId="0" borderId="73" xfId="0" applyFill="1" applyBorder="1" applyAlignment="1">
      <alignment horizontal="right"/>
    </xf>
    <xf numFmtId="3" fontId="5" fillId="0" borderId="70" xfId="1" applyNumberFormat="1" applyFont="1" applyFill="1" applyBorder="1" applyAlignment="1">
      <alignment horizontal="center" vertical="center"/>
    </xf>
    <xf numFmtId="3" fontId="5" fillId="0" borderId="22" xfId="1" applyNumberFormat="1" applyFont="1" applyFill="1" applyBorder="1" applyAlignment="1">
      <alignment horizontal="center" vertical="center"/>
    </xf>
    <xf numFmtId="3" fontId="5" fillId="0" borderId="78" xfId="1" applyNumberFormat="1" applyFont="1" applyFill="1" applyBorder="1" applyAlignment="1">
      <alignment horizontal="center" vertical="center"/>
    </xf>
    <xf numFmtId="3" fontId="5" fillId="0" borderId="91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5" fillId="0" borderId="22" xfId="7" applyNumberFormat="1" applyFont="1" applyFill="1" applyBorder="1" applyAlignment="1">
      <alignment horizontal="left" vertical="center"/>
    </xf>
    <xf numFmtId="0" fontId="5" fillId="0" borderId="70" xfId="1" applyFont="1" applyFill="1" applyBorder="1" applyAlignment="1">
      <alignment vertical="center"/>
    </xf>
    <xf numFmtId="0" fontId="5" fillId="0" borderId="13" xfId="1" applyFont="1" applyFill="1" applyBorder="1" applyAlignment="1">
      <alignment vertical="center"/>
    </xf>
    <xf numFmtId="0" fontId="5" fillId="0" borderId="78" xfId="1" applyFont="1" applyFill="1" applyBorder="1" applyAlignment="1">
      <alignment vertical="center"/>
    </xf>
    <xf numFmtId="0" fontId="5" fillId="0" borderId="55" xfId="1" applyFont="1" applyFill="1" applyBorder="1" applyAlignment="1">
      <alignment vertical="center"/>
    </xf>
    <xf numFmtId="49" fontId="5" fillId="0" borderId="81" xfId="7" applyNumberFormat="1" applyFont="1" applyFill="1" applyBorder="1" applyAlignment="1">
      <alignment vertical="center" wrapText="1"/>
    </xf>
    <xf numFmtId="49" fontId="5" fillId="0" borderId="57" xfId="7" applyNumberFormat="1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84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165" fontId="6" fillId="0" borderId="13" xfId="0" applyNumberFormat="1" applyFont="1" applyFill="1" applyBorder="1" applyAlignment="1">
      <alignment vertical="center"/>
    </xf>
    <xf numFmtId="1" fontId="5" fillId="0" borderId="57" xfId="7" applyNumberFormat="1" applyFont="1" applyFill="1" applyBorder="1" applyAlignment="1">
      <alignment horizontal="right" vertical="center"/>
    </xf>
    <xf numFmtId="1" fontId="5" fillId="0" borderId="2" xfId="7" applyNumberFormat="1" applyFont="1" applyFill="1" applyBorder="1" applyAlignment="1">
      <alignment horizontal="right" vertical="center"/>
    </xf>
    <xf numFmtId="1" fontId="5" fillId="0" borderId="58" xfId="7" applyNumberFormat="1" applyFont="1" applyFill="1" applyBorder="1" applyAlignment="1">
      <alignment horizontal="right" vertical="center"/>
    </xf>
    <xf numFmtId="1" fontId="5" fillId="0" borderId="23" xfId="7" applyNumberFormat="1" applyFont="1" applyFill="1" applyBorder="1" applyAlignment="1">
      <alignment horizontal="right" vertical="center"/>
    </xf>
    <xf numFmtId="49" fontId="5" fillId="0" borderId="12" xfId="7" applyNumberFormat="1" applyFont="1" applyFill="1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 wrapText="1"/>
    </xf>
    <xf numFmtId="1" fontId="5" fillId="0" borderId="12" xfId="10" applyNumberFormat="1" applyFont="1" applyFill="1" applyBorder="1" applyAlignment="1">
      <alignment horizontal="right" vertical="center"/>
    </xf>
    <xf numFmtId="1" fontId="5" fillId="0" borderId="56" xfId="10" applyNumberFormat="1" applyFont="1" applyFill="1" applyBorder="1" applyAlignment="1">
      <alignment horizontal="right" vertical="center"/>
    </xf>
    <xf numFmtId="165" fontId="5" fillId="0" borderId="13" xfId="7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5" fillId="0" borderId="70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vertical="center" wrapText="1"/>
    </xf>
    <xf numFmtId="49" fontId="5" fillId="0" borderId="40" xfId="7" applyNumberFormat="1" applyFont="1" applyFill="1" applyBorder="1" applyAlignment="1">
      <alignment vertical="center" wrapText="1"/>
    </xf>
    <xf numFmtId="49" fontId="5" fillId="0" borderId="36" xfId="7" applyNumberFormat="1" applyFont="1" applyFill="1" applyBorder="1" applyAlignment="1">
      <alignment vertical="center" wrapText="1"/>
    </xf>
    <xf numFmtId="49" fontId="5" fillId="0" borderId="85" xfId="7" applyNumberFormat="1" applyFont="1" applyFill="1" applyBorder="1" applyAlignment="1">
      <alignment vertical="center" wrapText="1"/>
    </xf>
    <xf numFmtId="0" fontId="28" fillId="0" borderId="15" xfId="0" applyFont="1" applyFill="1" applyBorder="1" applyAlignment="1">
      <alignment horizontal="right" vertical="top"/>
    </xf>
    <xf numFmtId="0" fontId="28" fillId="0" borderId="73" xfId="0" applyFont="1" applyFill="1" applyBorder="1" applyAlignment="1">
      <alignment horizontal="right" vertical="top"/>
    </xf>
    <xf numFmtId="0" fontId="5" fillId="0" borderId="70" xfId="0" applyNumberFormat="1" applyFont="1" applyFill="1" applyBorder="1" applyAlignment="1">
      <alignment horizontal="center" vertical="center"/>
    </xf>
    <xf numFmtId="0" fontId="5" fillId="0" borderId="60" xfId="0" applyNumberFormat="1" applyFont="1" applyFill="1" applyBorder="1" applyAlignment="1">
      <alignment horizontal="center" vertical="center"/>
    </xf>
    <xf numFmtId="0" fontId="5" fillId="0" borderId="57" xfId="0" applyNumberFormat="1" applyFont="1" applyFill="1" applyBorder="1" applyAlignment="1">
      <alignment vertical="center"/>
    </xf>
    <xf numFmtId="0" fontId="4" fillId="0" borderId="40" xfId="3" applyFont="1" applyFill="1" applyBorder="1" applyAlignment="1">
      <alignment horizontal="right" vertical="top"/>
    </xf>
    <xf numFmtId="0" fontId="28" fillId="0" borderId="36" xfId="0" applyFont="1" applyFill="1" applyBorder="1" applyAlignment="1">
      <alignment horizontal="right" vertical="top"/>
    </xf>
    <xf numFmtId="0" fontId="28" fillId="0" borderId="89" xfId="0" applyFont="1" applyFill="1" applyBorder="1" applyAlignment="1">
      <alignment horizontal="right" vertical="top"/>
    </xf>
    <xf numFmtId="0" fontId="5" fillId="0" borderId="29" xfId="0" applyNumberFormat="1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5" fillId="0" borderId="60" xfId="0" applyNumberFormat="1" applyFont="1" applyFill="1" applyBorder="1" applyAlignment="1">
      <alignment vertical="center"/>
    </xf>
    <xf numFmtId="0" fontId="6" fillId="0" borderId="60" xfId="0" applyFont="1" applyFill="1" applyBorder="1" applyAlignment="1">
      <alignment vertical="center"/>
    </xf>
    <xf numFmtId="0" fontId="4" fillId="0" borderId="36" xfId="3" applyFont="1" applyFill="1" applyBorder="1" applyAlignment="1">
      <alignment horizontal="right" vertical="top"/>
    </xf>
    <xf numFmtId="0" fontId="5" fillId="0" borderId="70" xfId="0" applyNumberFormat="1" applyFont="1" applyFill="1" applyBorder="1" applyAlignment="1">
      <alignment vertical="center"/>
    </xf>
    <xf numFmtId="49" fontId="5" fillId="0" borderId="26" xfId="7" applyNumberFormat="1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right" vertical="top"/>
    </xf>
    <xf numFmtId="0" fontId="28" fillId="0" borderId="0" xfId="0" applyFont="1" applyFill="1" applyBorder="1" applyAlignment="1">
      <alignment horizontal="right" vertical="top"/>
    </xf>
    <xf numFmtId="0" fontId="5" fillId="0" borderId="13" xfId="0" applyNumberFormat="1" applyFont="1" applyFill="1" applyBorder="1" applyAlignment="1">
      <alignment vertical="center"/>
    </xf>
    <xf numFmtId="0" fontId="5" fillId="0" borderId="70" xfId="0" applyFont="1" applyFill="1" applyBorder="1" applyAlignment="1">
      <alignment vertical="center"/>
    </xf>
    <xf numFmtId="49" fontId="5" fillId="0" borderId="52" xfId="7" applyNumberFormat="1" applyFont="1" applyFill="1" applyBorder="1" applyAlignment="1">
      <alignment horizontal="left" vertical="center" wrapText="1"/>
    </xf>
    <xf numFmtId="0" fontId="6" fillId="0" borderId="57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2" fillId="0" borderId="15" xfId="3" applyFont="1" applyFill="1" applyBorder="1" applyAlignment="1">
      <alignment horizontal="center" vertical="center" textRotation="90" wrapText="1" shrinkToFit="1"/>
    </xf>
    <xf numFmtId="0" fontId="2" fillId="0" borderId="0" xfId="3" applyFont="1" applyFill="1" applyBorder="1" applyAlignment="1">
      <alignment horizontal="center" vertical="center" textRotation="90" wrapText="1" shrinkToFit="1"/>
    </xf>
    <xf numFmtId="0" fontId="2" fillId="0" borderId="44" xfId="3" applyFont="1" applyFill="1" applyBorder="1" applyAlignment="1">
      <alignment horizontal="center" vertical="center" textRotation="90" wrapText="1" shrinkToFit="1"/>
    </xf>
    <xf numFmtId="49" fontId="5" fillId="0" borderId="15" xfId="7" applyNumberFormat="1" applyFont="1" applyFill="1" applyBorder="1" applyAlignment="1">
      <alignment vertical="center" wrapText="1"/>
    </xf>
    <xf numFmtId="49" fontId="5" fillId="0" borderId="71" xfId="7" applyNumberFormat="1" applyFont="1" applyFill="1" applyBorder="1" applyAlignment="1">
      <alignment vertical="center" wrapText="1"/>
    </xf>
    <xf numFmtId="0" fontId="5" fillId="0" borderId="24" xfId="0" applyNumberFormat="1" applyFont="1" applyFill="1" applyBorder="1" applyAlignment="1">
      <alignment vertical="center"/>
    </xf>
    <xf numFmtId="49" fontId="5" fillId="0" borderId="57" xfId="7" applyNumberFormat="1" applyFont="1" applyFill="1" applyBorder="1" applyAlignment="1">
      <alignment vertical="center"/>
    </xf>
    <xf numFmtId="49" fontId="5" fillId="0" borderId="24" xfId="7" applyNumberFormat="1" applyFont="1" applyFill="1" applyBorder="1" applyAlignment="1">
      <alignment vertical="center"/>
    </xf>
    <xf numFmtId="49" fontId="5" fillId="0" borderId="84" xfId="7" applyNumberFormat="1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center"/>
    </xf>
    <xf numFmtId="49" fontId="4" fillId="0" borderId="36" xfId="7" applyNumberFormat="1" applyFont="1" applyFill="1" applyBorder="1" applyAlignment="1">
      <alignment horizontal="right" vertical="top"/>
    </xf>
    <xf numFmtId="0" fontId="6" fillId="0" borderId="36" xfId="0" applyFont="1" applyFill="1" applyBorder="1" applyAlignment="1">
      <alignment horizontal="right" vertical="top"/>
    </xf>
    <xf numFmtId="0" fontId="6" fillId="0" borderId="89" xfId="0" applyFont="1" applyFill="1" applyBorder="1" applyAlignment="1">
      <alignment horizontal="right" vertical="top"/>
    </xf>
    <xf numFmtId="0" fontId="6" fillId="0" borderId="24" xfId="0" applyFont="1" applyFill="1" applyBorder="1" applyAlignment="1">
      <alignment horizontal="right" vertical="center"/>
    </xf>
    <xf numFmtId="0" fontId="6" fillId="0" borderId="36" xfId="0" applyFont="1" applyFill="1" applyBorder="1" applyAlignment="1">
      <alignment vertical="top"/>
    </xf>
    <xf numFmtId="0" fontId="6" fillId="0" borderId="89" xfId="0" applyFont="1" applyFill="1" applyBorder="1" applyAlignment="1">
      <alignment vertical="top"/>
    </xf>
    <xf numFmtId="0" fontId="6" fillId="0" borderId="18" xfId="0" applyFont="1" applyFill="1" applyBorder="1" applyAlignment="1">
      <alignment horizontal="center" vertical="center" textRotation="90" wrapText="1"/>
    </xf>
    <xf numFmtId="0" fontId="6" fillId="0" borderId="19" xfId="0" applyFont="1" applyFill="1" applyBorder="1" applyAlignment="1">
      <alignment horizontal="center" vertical="center" textRotation="90" wrapText="1"/>
    </xf>
    <xf numFmtId="0" fontId="28" fillId="0" borderId="15" xfId="0" applyFont="1" applyFill="1" applyBorder="1" applyAlignment="1">
      <alignment vertical="top"/>
    </xf>
    <xf numFmtId="0" fontId="28" fillId="0" borderId="73" xfId="0" applyFont="1" applyFill="1" applyBorder="1" applyAlignment="1">
      <alignment vertical="top"/>
    </xf>
    <xf numFmtId="0" fontId="28" fillId="0" borderId="0" xfId="0" applyFont="1" applyFill="1" applyBorder="1" applyAlignment="1">
      <alignment vertical="top"/>
    </xf>
    <xf numFmtId="0" fontId="28" fillId="0" borderId="74" xfId="0" applyFont="1" applyFill="1" applyBorder="1" applyAlignment="1">
      <alignment vertical="top"/>
    </xf>
    <xf numFmtId="0" fontId="6" fillId="0" borderId="57" xfId="0" applyFont="1" applyFill="1" applyBorder="1" applyAlignment="1">
      <alignment horizontal="left" vertical="center" wrapText="1"/>
    </xf>
    <xf numFmtId="0" fontId="0" fillId="0" borderId="53" xfId="0" applyFill="1" applyBorder="1" applyAlignment="1">
      <alignment horizontal="left" vertical="center" wrapText="1"/>
    </xf>
    <xf numFmtId="0" fontId="4" fillId="0" borderId="43" xfId="3" applyFont="1" applyFill="1" applyBorder="1" applyAlignment="1">
      <alignment horizontal="right" vertical="top"/>
    </xf>
    <xf numFmtId="0" fontId="6" fillId="0" borderId="44" xfId="0" applyFont="1" applyFill="1" applyBorder="1" applyAlignment="1">
      <alignment vertical="top"/>
    </xf>
    <xf numFmtId="0" fontId="6" fillId="0" borderId="75" xfId="0" applyFont="1" applyFill="1" applyBorder="1" applyAlignment="1">
      <alignment vertical="top"/>
    </xf>
    <xf numFmtId="0" fontId="6" fillId="0" borderId="15" xfId="0" applyFont="1" applyFill="1" applyBorder="1" applyAlignment="1">
      <alignment vertical="top"/>
    </xf>
    <xf numFmtId="0" fontId="6" fillId="0" borderId="73" xfId="0" applyFont="1" applyFill="1" applyBorder="1" applyAlignment="1">
      <alignment vertical="top"/>
    </xf>
    <xf numFmtId="0" fontId="6" fillId="0" borderId="36" xfId="0" applyFont="1" applyFill="1" applyBorder="1" applyAlignment="1">
      <alignment vertical="center"/>
    </xf>
    <xf numFmtId="0" fontId="6" fillId="0" borderId="85" xfId="0" applyFont="1" applyFill="1" applyBorder="1" applyAlignment="1">
      <alignment vertical="center"/>
    </xf>
    <xf numFmtId="0" fontId="6" fillId="0" borderId="43" xfId="0" applyFont="1" applyFill="1" applyBorder="1" applyAlignment="1">
      <alignment horizontal="left" vertical="center" wrapText="1"/>
    </xf>
    <xf numFmtId="0" fontId="6" fillId="0" borderId="44" xfId="0" applyFont="1" applyFill="1" applyBorder="1" applyAlignment="1">
      <alignment horizontal="left" vertical="center" wrapText="1"/>
    </xf>
    <xf numFmtId="0" fontId="6" fillId="0" borderId="72" xfId="0" applyFont="1" applyFill="1" applyBorder="1" applyAlignment="1">
      <alignment horizontal="left" vertical="center" wrapText="1"/>
    </xf>
    <xf numFmtId="0" fontId="6" fillId="0" borderId="77" xfId="0" applyFont="1" applyFill="1" applyBorder="1" applyAlignment="1">
      <alignment horizontal="center" vertical="center" textRotation="90" wrapText="1"/>
    </xf>
    <xf numFmtId="0" fontId="6" fillId="0" borderId="43" xfId="0" applyFont="1" applyFill="1" applyBorder="1" applyAlignment="1">
      <alignment horizontal="center" vertical="center" textRotation="90" wrapText="1"/>
    </xf>
    <xf numFmtId="0" fontId="6" fillId="0" borderId="36" xfId="0" applyFont="1" applyFill="1" applyBorder="1" applyAlignment="1">
      <alignment vertical="center" wrapText="1"/>
    </xf>
    <xf numFmtId="0" fontId="6" fillId="0" borderId="85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71" xfId="0" applyFont="1" applyFill="1" applyBorder="1" applyAlignment="1">
      <alignment horizontal="left" vertical="center" wrapText="1"/>
    </xf>
    <xf numFmtId="49" fontId="4" fillId="0" borderId="40" xfId="7" applyNumberFormat="1" applyFont="1" applyFill="1" applyBorder="1" applyAlignment="1">
      <alignment horizontal="right" vertical="top" wrapText="1"/>
    </xf>
    <xf numFmtId="0" fontId="5" fillId="0" borderId="18" xfId="0" applyFont="1" applyFill="1" applyBorder="1" applyAlignment="1">
      <alignment vertical="center" textRotation="90" wrapText="1"/>
    </xf>
    <xf numFmtId="0" fontId="6" fillId="0" borderId="15" xfId="0" applyFont="1" applyFill="1" applyBorder="1" applyAlignment="1">
      <alignment horizontal="right"/>
    </xf>
    <xf numFmtId="0" fontId="6" fillId="0" borderId="73" xfId="0" applyFont="1" applyFill="1" applyBorder="1" applyAlignment="1">
      <alignment horizontal="right"/>
    </xf>
    <xf numFmtId="0" fontId="6" fillId="0" borderId="15" xfId="0" applyFont="1" applyFill="1" applyBorder="1" applyAlignment="1">
      <alignment vertical="center" wrapText="1"/>
    </xf>
    <xf numFmtId="0" fontId="6" fillId="0" borderId="71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right" vertical="top"/>
    </xf>
    <xf numFmtId="0" fontId="6" fillId="0" borderId="73" xfId="0" applyFont="1" applyFill="1" applyBorder="1" applyAlignment="1">
      <alignment horizontal="right" vertical="top"/>
    </xf>
    <xf numFmtId="49" fontId="5" fillId="0" borderId="13" xfId="7" applyNumberFormat="1" applyFont="1" applyFill="1" applyBorder="1" applyAlignment="1">
      <alignment vertical="center" wrapText="1"/>
    </xf>
    <xf numFmtId="0" fontId="6" fillId="0" borderId="28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2" fillId="0" borderId="36" xfId="0" applyFont="1" applyFill="1" applyBorder="1" applyAlignment="1">
      <alignment vertical="top"/>
    </xf>
    <xf numFmtId="49" fontId="5" fillId="0" borderId="12" xfId="7" applyNumberFormat="1" applyFont="1" applyFill="1" applyBorder="1" applyAlignment="1">
      <alignment horizontal="left" vertical="center"/>
    </xf>
    <xf numFmtId="0" fontId="32" fillId="0" borderId="18" xfId="0" applyFont="1" applyFill="1" applyBorder="1" applyAlignment="1">
      <alignment horizontal="center" vertical="center" textRotation="90" wrapText="1"/>
    </xf>
    <xf numFmtId="0" fontId="32" fillId="0" borderId="77" xfId="0" applyFont="1" applyFill="1" applyBorder="1" applyAlignment="1">
      <alignment horizontal="center" vertical="center" textRotation="90" wrapText="1"/>
    </xf>
    <xf numFmtId="0" fontId="32" fillId="0" borderId="13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vertical="center"/>
    </xf>
    <xf numFmtId="0" fontId="32" fillId="0" borderId="57" xfId="0" applyFont="1" applyFill="1" applyBorder="1" applyAlignment="1">
      <alignment vertical="center" wrapText="1"/>
    </xf>
    <xf numFmtId="49" fontId="5" fillId="0" borderId="69" xfId="7" applyNumberFormat="1" applyFont="1" applyFill="1" applyBorder="1" applyAlignment="1">
      <alignment horizontal="left" vertical="center" wrapText="1"/>
    </xf>
    <xf numFmtId="0" fontId="32" fillId="0" borderId="60" xfId="0" applyFont="1" applyFill="1" applyBorder="1" applyAlignment="1">
      <alignment vertical="center" wrapText="1"/>
    </xf>
    <xf numFmtId="0" fontId="32" fillId="0" borderId="65" xfId="0" applyFont="1" applyFill="1" applyBorder="1" applyAlignment="1">
      <alignment vertical="center" wrapText="1"/>
    </xf>
    <xf numFmtId="0" fontId="32" fillId="0" borderId="12" xfId="0" applyFont="1" applyFill="1" applyBorder="1" applyAlignment="1">
      <alignment vertical="center" wrapText="1"/>
    </xf>
    <xf numFmtId="0" fontId="32" fillId="0" borderId="36" xfId="0" applyFont="1" applyFill="1" applyBorder="1" applyAlignment="1">
      <alignment vertical="top"/>
    </xf>
    <xf numFmtId="0" fontId="32" fillId="0" borderId="89" xfId="0" applyFont="1" applyFill="1" applyBorder="1" applyAlignment="1">
      <alignment vertical="top"/>
    </xf>
    <xf numFmtId="0" fontId="32" fillId="0" borderId="15" xfId="0" applyFont="1" applyFill="1" applyBorder="1" applyAlignment="1"/>
    <xf numFmtId="0" fontId="13" fillId="0" borderId="36" xfId="3" applyFont="1" applyFill="1" applyBorder="1" applyAlignment="1">
      <alignment horizontal="right" vertical="top" wrapText="1"/>
    </xf>
    <xf numFmtId="0" fontId="32" fillId="0" borderId="36" xfId="0" applyFont="1" applyFill="1" applyBorder="1" applyAlignment="1">
      <alignment vertical="top" wrapText="1"/>
    </xf>
    <xf numFmtId="0" fontId="32" fillId="0" borderId="13" xfId="0" applyFont="1" applyFill="1" applyBorder="1" applyAlignment="1">
      <alignment horizontal="right" vertical="center"/>
    </xf>
    <xf numFmtId="0" fontId="0" fillId="0" borderId="65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49" fontId="5" fillId="0" borderId="97" xfId="7" applyNumberFormat="1" applyFont="1" applyFill="1" applyBorder="1" applyAlignment="1">
      <alignment horizontal="left" vertical="center" wrapText="1"/>
    </xf>
    <xf numFmtId="49" fontId="5" fillId="0" borderId="13" xfId="7" applyNumberFormat="1" applyFont="1" applyFill="1" applyBorder="1" applyAlignment="1">
      <alignment horizontal="left" vertical="center" wrapText="1"/>
    </xf>
    <xf numFmtId="49" fontId="5" fillId="0" borderId="17" xfId="7" applyNumberFormat="1" applyFont="1" applyFill="1" applyBorder="1" applyAlignment="1">
      <alignment horizontal="left" vertical="center" wrapText="1"/>
    </xf>
    <xf numFmtId="49" fontId="5" fillId="0" borderId="0" xfId="7" applyNumberFormat="1" applyFont="1" applyFill="1" applyBorder="1" applyAlignment="1">
      <alignment horizontal="center" vertical="center" textRotation="90" wrapText="1"/>
    </xf>
    <xf numFmtId="0" fontId="32" fillId="0" borderId="44" xfId="0" applyFont="1" applyFill="1" applyBorder="1" applyAlignment="1">
      <alignment vertical="top"/>
    </xf>
    <xf numFmtId="0" fontId="32" fillId="0" borderId="75" xfId="0" applyFont="1" applyFill="1" applyBorder="1" applyAlignment="1">
      <alignment vertical="top"/>
    </xf>
    <xf numFmtId="165" fontId="5" fillId="0" borderId="57" xfId="7" applyNumberFormat="1" applyFont="1" applyFill="1" applyBorder="1" applyAlignment="1">
      <alignment horizontal="center" vertical="top"/>
    </xf>
    <xf numFmtId="165" fontId="5" fillId="0" borderId="2" xfId="7" applyNumberFormat="1" applyFont="1" applyFill="1" applyBorder="1" applyAlignment="1">
      <alignment horizontal="center" vertical="top"/>
    </xf>
    <xf numFmtId="165" fontId="5" fillId="0" borderId="58" xfId="7" applyNumberFormat="1" applyFont="1" applyFill="1" applyBorder="1" applyAlignment="1">
      <alignment horizontal="center" vertical="top"/>
    </xf>
    <xf numFmtId="165" fontId="5" fillId="0" borderId="23" xfId="7" applyNumberFormat="1" applyFont="1" applyFill="1" applyBorder="1" applyAlignment="1">
      <alignment horizontal="center" vertical="top"/>
    </xf>
    <xf numFmtId="1" fontId="5" fillId="0" borderId="12" xfId="7" applyNumberFormat="1" applyFont="1" applyFill="1" applyBorder="1" applyAlignment="1">
      <alignment horizontal="center" vertical="top"/>
    </xf>
    <xf numFmtId="1" fontId="5" fillId="0" borderId="60" xfId="7" applyNumberFormat="1" applyFont="1" applyFill="1" applyBorder="1" applyAlignment="1">
      <alignment horizontal="center" vertical="top"/>
    </xf>
    <xf numFmtId="1" fontId="5" fillId="0" borderId="22" xfId="7" applyNumberFormat="1" applyFont="1" applyFill="1" applyBorder="1" applyAlignment="1">
      <alignment horizontal="center" vertical="top"/>
    </xf>
    <xf numFmtId="1" fontId="5" fillId="0" borderId="56" xfId="7" applyNumberFormat="1" applyFont="1" applyFill="1" applyBorder="1" applyAlignment="1">
      <alignment horizontal="center" vertical="top"/>
    </xf>
    <xf numFmtId="1" fontId="5" fillId="0" borderId="79" xfId="7" applyNumberFormat="1" applyFont="1" applyFill="1" applyBorder="1" applyAlignment="1">
      <alignment horizontal="center" vertical="top"/>
    </xf>
    <xf numFmtId="1" fontId="5" fillId="0" borderId="91" xfId="7" applyNumberFormat="1" applyFont="1" applyFill="1" applyBorder="1" applyAlignment="1">
      <alignment horizontal="center" vertical="top"/>
    </xf>
    <xf numFmtId="1" fontId="5" fillId="0" borderId="2" xfId="7" applyNumberFormat="1" applyFont="1" applyFill="1" applyBorder="1" applyAlignment="1">
      <alignment vertical="top"/>
    </xf>
    <xf numFmtId="0" fontId="32" fillId="0" borderId="2" xfId="0" applyFont="1" applyFill="1" applyBorder="1" applyAlignment="1">
      <alignment vertical="top"/>
    </xf>
    <xf numFmtId="1" fontId="5" fillId="0" borderId="2" xfId="7" applyNumberFormat="1" applyFont="1" applyFill="1" applyBorder="1" applyAlignment="1">
      <alignment horizontal="center" vertical="top"/>
    </xf>
    <xf numFmtId="0" fontId="32" fillId="0" borderId="2" xfId="0" applyFont="1" applyFill="1" applyBorder="1" applyAlignment="1">
      <alignment horizontal="center" vertical="top"/>
    </xf>
    <xf numFmtId="1" fontId="5" fillId="0" borderId="23" xfId="7" applyNumberFormat="1" applyFont="1" applyFill="1" applyBorder="1" applyAlignment="1">
      <alignment horizontal="center" vertical="top"/>
    </xf>
    <xf numFmtId="0" fontId="32" fillId="0" borderId="23" xfId="0" applyFont="1" applyFill="1" applyBorder="1" applyAlignment="1">
      <alignment horizontal="center" vertical="top"/>
    </xf>
    <xf numFmtId="1" fontId="5" fillId="0" borderId="57" xfId="7" applyNumberFormat="1" applyFont="1" applyFill="1" applyBorder="1" applyAlignment="1">
      <alignment horizontal="left" vertical="top"/>
    </xf>
    <xf numFmtId="1" fontId="5" fillId="0" borderId="2" xfId="7" applyNumberFormat="1" applyFont="1" applyFill="1" applyBorder="1" applyAlignment="1">
      <alignment horizontal="left" vertical="top"/>
    </xf>
    <xf numFmtId="1" fontId="5" fillId="0" borderId="12" xfId="7" applyNumberFormat="1" applyFont="1" applyFill="1" applyBorder="1" applyAlignment="1">
      <alignment horizontal="left" vertical="top"/>
    </xf>
    <xf numFmtId="1" fontId="5" fillId="0" borderId="60" xfId="7" applyNumberFormat="1" applyFont="1" applyFill="1" applyBorder="1" applyAlignment="1">
      <alignment horizontal="left" vertical="top"/>
    </xf>
    <xf numFmtId="1" fontId="5" fillId="0" borderId="22" xfId="7" applyNumberFormat="1" applyFont="1" applyFill="1" applyBorder="1" applyAlignment="1">
      <alignment horizontal="left" vertical="top"/>
    </xf>
    <xf numFmtId="0" fontId="32" fillId="0" borderId="0" xfId="0" applyFont="1" applyFill="1" applyBorder="1" applyAlignment="1">
      <alignment vertical="top"/>
    </xf>
    <xf numFmtId="0" fontId="32" fillId="0" borderId="74" xfId="0" applyFont="1" applyFill="1" applyBorder="1" applyAlignment="1">
      <alignment vertical="top"/>
    </xf>
    <xf numFmtId="0" fontId="32" fillId="0" borderId="36" xfId="0" applyFont="1" applyFill="1" applyBorder="1" applyAlignment="1">
      <alignment horizontal="right"/>
    </xf>
    <xf numFmtId="0" fontId="32" fillId="0" borderId="89" xfId="0" applyFont="1" applyFill="1" applyBorder="1" applyAlignment="1">
      <alignment horizontal="right"/>
    </xf>
    <xf numFmtId="0" fontId="32" fillId="0" borderId="73" xfId="0" applyFont="1" applyFill="1" applyBorder="1" applyAlignment="1"/>
    <xf numFmtId="0" fontId="32" fillId="0" borderId="36" xfId="0" applyFont="1" applyFill="1" applyBorder="1" applyAlignment="1"/>
    <xf numFmtId="0" fontId="32" fillId="0" borderId="89" xfId="0" applyFont="1" applyFill="1" applyBorder="1" applyAlignment="1"/>
    <xf numFmtId="0" fontId="32" fillId="0" borderId="15" xfId="0" applyFont="1" applyFill="1" applyBorder="1" applyAlignment="1">
      <alignment horizontal="left" vertical="center" wrapText="1"/>
    </xf>
    <xf numFmtId="0" fontId="32" fillId="0" borderId="71" xfId="0" applyFont="1" applyFill="1" applyBorder="1" applyAlignment="1">
      <alignment horizontal="left" vertical="center" wrapText="1"/>
    </xf>
    <xf numFmtId="0" fontId="33" fillId="0" borderId="82" xfId="3" applyFont="1" applyFill="1" applyBorder="1" applyAlignment="1">
      <alignment horizontal="center" vertical="center" textRotation="90" wrapText="1"/>
    </xf>
    <xf numFmtId="0" fontId="33" fillId="0" borderId="18" xfId="3" applyFont="1" applyFill="1" applyBorder="1" applyAlignment="1">
      <alignment horizontal="center" vertical="center" textRotation="90" wrapText="1"/>
    </xf>
    <xf numFmtId="0" fontId="33" fillId="0" borderId="19" xfId="3" applyFont="1" applyFill="1" applyBorder="1" applyAlignment="1">
      <alignment horizontal="center" vertical="center" textRotation="90" wrapText="1"/>
    </xf>
    <xf numFmtId="0" fontId="32" fillId="0" borderId="36" xfId="0" applyFont="1" applyFill="1" applyBorder="1" applyAlignment="1">
      <alignment horizontal="right" vertical="top"/>
    </xf>
    <xf numFmtId="0" fontId="10" fillId="0" borderId="36" xfId="0" applyFont="1" applyFill="1" applyBorder="1" applyAlignment="1">
      <alignment vertical="top" wrapText="1"/>
    </xf>
    <xf numFmtId="0" fontId="10" fillId="0" borderId="89" xfId="0" applyFont="1" applyFill="1" applyBorder="1" applyAlignment="1">
      <alignment vertical="top" wrapText="1"/>
    </xf>
    <xf numFmtId="0" fontId="10" fillId="0" borderId="52" xfId="0" applyFont="1" applyFill="1" applyBorder="1" applyAlignment="1">
      <alignment vertical="top"/>
    </xf>
    <xf numFmtId="0" fontId="10" fillId="0" borderId="45" xfId="0" applyFont="1" applyFill="1" applyBorder="1" applyAlignment="1">
      <alignment vertical="top"/>
    </xf>
    <xf numFmtId="0" fontId="2" fillId="0" borderId="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32" fillId="0" borderId="15" xfId="0" applyFont="1" applyFill="1" applyBorder="1" applyAlignment="1">
      <alignment vertical="top"/>
    </xf>
    <xf numFmtId="0" fontId="5" fillId="0" borderId="2" xfId="0" applyFont="1" applyFill="1" applyBorder="1" applyAlignment="1">
      <alignment horizontal="left" vertical="center"/>
    </xf>
    <xf numFmtId="0" fontId="32" fillId="0" borderId="36" xfId="0" applyFont="1" applyFill="1" applyBorder="1" applyAlignment="1">
      <alignment horizontal="left" vertical="center" wrapText="1"/>
    </xf>
    <xf numFmtId="0" fontId="32" fillId="0" borderId="85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left" vertical="center" wrapText="1"/>
    </xf>
    <xf numFmtId="0" fontId="32" fillId="0" borderId="24" xfId="0" applyFont="1" applyFill="1" applyBorder="1" applyAlignment="1">
      <alignment horizontal="center" vertical="center"/>
    </xf>
    <xf numFmtId="0" fontId="32" fillId="0" borderId="57" xfId="0" applyFont="1" applyFill="1" applyBorder="1" applyAlignment="1">
      <alignment horizontal="left" vertical="center" wrapText="1"/>
    </xf>
    <xf numFmtId="0" fontId="32" fillId="0" borderId="17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84" xfId="0" applyFont="1" applyFill="1" applyBorder="1" applyAlignment="1">
      <alignment horizontal="left" vertical="center" wrapText="1"/>
    </xf>
    <xf numFmtId="0" fontId="32" fillId="0" borderId="24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/>
    <xf numFmtId="0" fontId="32" fillId="0" borderId="60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vertical="center" wrapText="1"/>
    </xf>
    <xf numFmtId="0" fontId="32" fillId="0" borderId="84" xfId="0" applyFont="1" applyFill="1" applyBorder="1" applyAlignment="1">
      <alignment vertical="center" wrapText="1"/>
    </xf>
    <xf numFmtId="0" fontId="32" fillId="0" borderId="24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32" fillId="0" borderId="22" xfId="0" applyFont="1" applyFill="1" applyBorder="1" applyAlignment="1">
      <alignment horizontal="left" vertical="center"/>
    </xf>
    <xf numFmtId="0" fontId="5" fillId="0" borderId="18" xfId="3" applyFont="1" applyFill="1" applyBorder="1" applyAlignment="1">
      <alignment horizontal="center" vertical="center" textRotation="90" wrapText="1"/>
    </xf>
    <xf numFmtId="49" fontId="5" fillId="0" borderId="57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4" xfId="0" applyNumberFormat="1" applyFont="1" applyFill="1" applyBorder="1" applyAlignment="1">
      <alignment horizontal="center" vertical="center" wrapText="1"/>
    </xf>
    <xf numFmtId="49" fontId="5" fillId="0" borderId="65" xfId="7" applyNumberFormat="1" applyFont="1" applyFill="1" applyBorder="1" applyAlignment="1">
      <alignment horizontal="left" vertical="center" wrapText="1"/>
    </xf>
    <xf numFmtId="49" fontId="5" fillId="0" borderId="97" xfId="7" applyNumberFormat="1" applyFont="1" applyFill="1" applyBorder="1" applyAlignment="1">
      <alignment horizontal="left" vertical="top" wrapText="1"/>
    </xf>
    <xf numFmtId="49" fontId="5" fillId="0" borderId="13" xfId="7" applyNumberFormat="1" applyFont="1" applyFill="1" applyBorder="1" applyAlignment="1">
      <alignment horizontal="left" vertical="top" wrapText="1"/>
    </xf>
    <xf numFmtId="49" fontId="5" fillId="0" borderId="17" xfId="7" applyNumberFormat="1" applyFont="1" applyFill="1" applyBorder="1" applyAlignment="1">
      <alignment horizontal="left" vertical="top" wrapText="1"/>
    </xf>
    <xf numFmtId="49" fontId="5" fillId="0" borderId="2" xfId="7" applyNumberFormat="1" applyFont="1" applyFill="1" applyBorder="1" applyAlignment="1">
      <alignment horizontal="left" vertical="top" wrapText="1"/>
    </xf>
    <xf numFmtId="49" fontId="5" fillId="0" borderId="84" xfId="7" applyNumberFormat="1" applyFont="1" applyFill="1" applyBorder="1" applyAlignment="1">
      <alignment horizontal="left" vertical="top" wrapText="1"/>
    </xf>
    <xf numFmtId="49" fontId="5" fillId="0" borderId="24" xfId="7" applyNumberFormat="1" applyFont="1" applyFill="1" applyBorder="1" applyAlignment="1">
      <alignment horizontal="left" vertical="top" wrapText="1"/>
    </xf>
    <xf numFmtId="49" fontId="5" fillId="0" borderId="13" xfId="7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  <xf numFmtId="2" fontId="5" fillId="0" borderId="12" xfId="7" applyNumberFormat="1" applyFont="1" applyFill="1" applyBorder="1" applyAlignment="1">
      <alignment horizontal="right" vertical="center"/>
    </xf>
    <xf numFmtId="2" fontId="5" fillId="0" borderId="60" xfId="7" applyNumberFormat="1" applyFont="1" applyFill="1" applyBorder="1" applyAlignment="1">
      <alignment horizontal="right" vertical="center"/>
    </xf>
    <xf numFmtId="0" fontId="32" fillId="0" borderId="60" xfId="0" applyFont="1" applyFill="1" applyBorder="1" applyAlignment="1">
      <alignment horizontal="right" vertical="center"/>
    </xf>
    <xf numFmtId="0" fontId="32" fillId="0" borderId="60" xfId="0" applyFont="1" applyFill="1" applyBorder="1" applyAlignment="1">
      <alignment vertical="center"/>
    </xf>
    <xf numFmtId="0" fontId="32" fillId="0" borderId="60" xfId="0" applyFont="1" applyFill="1" applyBorder="1" applyAlignment="1">
      <alignment horizontal="center" vertical="center"/>
    </xf>
    <xf numFmtId="0" fontId="13" fillId="0" borderId="40" xfId="3" applyFont="1" applyFill="1" applyBorder="1" applyAlignment="1">
      <alignment horizontal="right" vertical="center"/>
    </xf>
    <xf numFmtId="0" fontId="32" fillId="0" borderId="36" xfId="0" applyFont="1" applyFill="1" applyBorder="1" applyAlignment="1">
      <alignment vertical="center"/>
    </xf>
    <xf numFmtId="0" fontId="32" fillId="0" borderId="89" xfId="0" applyFont="1" applyFill="1" applyBorder="1" applyAlignment="1">
      <alignment vertical="center"/>
    </xf>
    <xf numFmtId="0" fontId="13" fillId="0" borderId="36" xfId="3" applyFont="1" applyFill="1" applyBorder="1" applyAlignment="1">
      <alignment horizontal="right" vertical="center"/>
    </xf>
    <xf numFmtId="49" fontId="5" fillId="0" borderId="75" xfId="7" applyNumberFormat="1" applyFont="1" applyFill="1" applyBorder="1" applyAlignment="1">
      <alignment horizontal="center" vertical="center" textRotation="90" wrapText="1"/>
    </xf>
    <xf numFmtId="0" fontId="32" fillId="0" borderId="44" xfId="0" applyFont="1" applyFill="1" applyBorder="1" applyAlignment="1">
      <alignment horizontal="right" vertical="top"/>
    </xf>
    <xf numFmtId="0" fontId="32" fillId="0" borderId="0" xfId="0" applyFont="1" applyFill="1" applyBorder="1" applyAlignment="1">
      <alignment horizontal="right" vertical="top"/>
    </xf>
    <xf numFmtId="0" fontId="32" fillId="0" borderId="77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2" fillId="0" borderId="29" xfId="0" applyFont="1" applyFill="1" applyBorder="1" applyAlignment="1">
      <alignment vertical="center"/>
    </xf>
    <xf numFmtId="49" fontId="5" fillId="0" borderId="43" xfId="7" applyNumberFormat="1" applyFont="1" applyFill="1" applyBorder="1" applyAlignment="1">
      <alignment horizontal="center" vertical="center" textRotation="90" wrapText="1"/>
    </xf>
    <xf numFmtId="0" fontId="32" fillId="0" borderId="24" xfId="0" applyFont="1" applyFill="1" applyBorder="1" applyAlignment="1">
      <alignment vertical="center"/>
    </xf>
    <xf numFmtId="0" fontId="32" fillId="0" borderId="12" xfId="0" applyFont="1" applyFill="1" applyBorder="1" applyAlignment="1">
      <alignment horizontal="right" vertical="center"/>
    </xf>
    <xf numFmtId="49" fontId="5" fillId="0" borderId="68" xfId="7" applyNumberFormat="1" applyFont="1" applyFill="1" applyBorder="1" applyAlignment="1">
      <alignment horizontal="left" vertical="center" wrapText="1"/>
    </xf>
    <xf numFmtId="0" fontId="32" fillId="0" borderId="70" xfId="0" applyFont="1" applyFill="1" applyBorder="1" applyAlignment="1">
      <alignment horizontal="left" vertical="center" wrapText="1"/>
    </xf>
    <xf numFmtId="0" fontId="5" fillId="0" borderId="56" xfId="0" applyFont="1" applyFill="1" applyBorder="1" applyAlignment="1">
      <alignment horizontal="center" vertical="center"/>
    </xf>
    <xf numFmtId="0" fontId="5" fillId="0" borderId="79" xfId="0" applyFont="1" applyFill="1" applyBorder="1" applyAlignment="1">
      <alignment horizontal="center" vertical="center"/>
    </xf>
    <xf numFmtId="0" fontId="32" fillId="0" borderId="24" xfId="0" applyFont="1" applyFill="1" applyBorder="1" applyAlignment="1">
      <alignment horizontal="right" vertical="center"/>
    </xf>
    <xf numFmtId="0" fontId="32" fillId="0" borderId="52" xfId="0" applyFont="1" applyFill="1" applyBorder="1" applyAlignment="1">
      <alignment horizontal="left" vertical="center" wrapText="1"/>
    </xf>
    <xf numFmtId="0" fontId="32" fillId="0" borderId="60" xfId="0" applyFont="1" applyFill="1" applyBorder="1" applyAlignment="1">
      <alignment horizontal="left" vertical="center" wrapText="1"/>
    </xf>
    <xf numFmtId="0" fontId="32" fillId="0" borderId="24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vertical="center"/>
    </xf>
    <xf numFmtId="0" fontId="5" fillId="0" borderId="60" xfId="0" applyFont="1" applyFill="1" applyBorder="1" applyAlignment="1"/>
    <xf numFmtId="0" fontId="5" fillId="0" borderId="60" xfId="0" applyFont="1" applyFill="1" applyBorder="1" applyAlignment="1">
      <alignment horizontal="center" vertical="center"/>
    </xf>
    <xf numFmtId="0" fontId="2" fillId="0" borderId="0" xfId="8" applyFont="1" applyFill="1" applyAlignment="1">
      <alignment horizontal="left" wrapText="1"/>
    </xf>
    <xf numFmtId="0" fontId="3" fillId="0" borderId="0" xfId="3" applyFont="1" applyFill="1" applyAlignment="1">
      <alignment horizontal="center" vertical="top" wrapText="1"/>
    </xf>
    <xf numFmtId="165" fontId="5" fillId="0" borderId="2" xfId="7" applyNumberFormat="1" applyFont="1" applyFill="1" applyBorder="1" applyAlignment="1">
      <alignment vertical="center"/>
    </xf>
    <xf numFmtId="0" fontId="32" fillId="0" borderId="2" xfId="0" applyFont="1" applyFill="1" applyBorder="1" applyAlignment="1">
      <alignment vertical="center"/>
    </xf>
    <xf numFmtId="0" fontId="32" fillId="0" borderId="4" xfId="0" applyFont="1" applyFill="1" applyBorder="1" applyAlignment="1">
      <alignment vertical="center"/>
    </xf>
    <xf numFmtId="0" fontId="10" fillId="0" borderId="36" xfId="0" applyFont="1" applyFill="1" applyBorder="1" applyAlignment="1">
      <alignment vertical="center"/>
    </xf>
    <xf numFmtId="0" fontId="32" fillId="0" borderId="15" xfId="0" applyFont="1" applyFill="1" applyBorder="1" applyAlignment="1">
      <alignment vertical="center" wrapText="1"/>
    </xf>
    <xf numFmtId="0" fontId="32" fillId="0" borderId="71" xfId="0" applyFont="1" applyFill="1" applyBorder="1" applyAlignment="1">
      <alignment vertical="center" wrapText="1"/>
    </xf>
    <xf numFmtId="0" fontId="10" fillId="0" borderId="89" xfId="0" applyFont="1" applyFill="1" applyBorder="1" applyAlignment="1">
      <alignment vertical="center"/>
    </xf>
    <xf numFmtId="0" fontId="13" fillId="0" borderId="43" xfId="3" applyFont="1" applyFill="1" applyBorder="1" applyAlignment="1">
      <alignment horizontal="right" vertical="center"/>
    </xf>
    <xf numFmtId="0" fontId="13" fillId="0" borderId="44" xfId="3" applyFont="1" applyFill="1" applyBorder="1" applyAlignment="1">
      <alignment horizontal="right" vertical="center"/>
    </xf>
    <xf numFmtId="0" fontId="13" fillId="0" borderId="75" xfId="3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0" fillId="0" borderId="55" xfId="0" applyFill="1" applyBorder="1" applyAlignment="1">
      <alignment horizontal="center" vertical="center"/>
    </xf>
    <xf numFmtId="49" fontId="5" fillId="0" borderId="70" xfId="7" applyNumberFormat="1" applyFont="1" applyFill="1" applyBorder="1" applyAlignment="1">
      <alignment vertical="center" wrapText="1"/>
    </xf>
    <xf numFmtId="0" fontId="32" fillId="0" borderId="36" xfId="0" applyFont="1" applyFill="1" applyBorder="1" applyAlignment="1">
      <alignment vertical="center" wrapText="1"/>
    </xf>
    <xf numFmtId="0" fontId="32" fillId="0" borderId="85" xfId="0" applyFont="1" applyFill="1" applyBorder="1" applyAlignment="1">
      <alignment vertical="center" wrapText="1"/>
    </xf>
    <xf numFmtId="49" fontId="5" fillId="2" borderId="0" xfId="7" applyNumberFormat="1" applyFont="1" applyFill="1" applyBorder="1" applyAlignment="1">
      <alignment horizontal="left" vertical="center" wrapText="1"/>
    </xf>
    <xf numFmtId="49" fontId="5" fillId="2" borderId="29" xfId="7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79" xfId="0" applyFill="1" applyBorder="1" applyAlignment="1">
      <alignment horizontal="center" vertical="center"/>
    </xf>
    <xf numFmtId="49" fontId="5" fillId="0" borderId="60" xfId="7" applyNumberFormat="1" applyFont="1" applyFill="1" applyBorder="1" applyAlignment="1">
      <alignment horizontal="center" vertical="center" wrapText="1"/>
    </xf>
    <xf numFmtId="49" fontId="5" fillId="0" borderId="13" xfId="7" applyNumberFormat="1" applyFont="1" applyFill="1" applyBorder="1" applyAlignment="1">
      <alignment horizontal="center" vertical="center" wrapText="1"/>
    </xf>
    <xf numFmtId="49" fontId="5" fillId="0" borderId="57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4" xfId="0" applyNumberFormat="1" applyFont="1" applyFill="1" applyBorder="1" applyAlignment="1">
      <alignment horizontal="center" vertical="center"/>
    </xf>
    <xf numFmtId="49" fontId="5" fillId="0" borderId="60" xfId="0" applyNumberFormat="1" applyFont="1" applyFill="1" applyBorder="1" applyAlignment="1">
      <alignment horizontal="left" vertical="center" wrapText="1"/>
    </xf>
    <xf numFmtId="0" fontId="5" fillId="0" borderId="60" xfId="0" applyFont="1" applyFill="1" applyBorder="1" applyAlignment="1">
      <alignment vertical="center"/>
    </xf>
    <xf numFmtId="0" fontId="10" fillId="0" borderId="54" xfId="0" applyFont="1" applyFill="1" applyBorder="1" applyAlignment="1">
      <alignment vertical="top"/>
    </xf>
    <xf numFmtId="3" fontId="5" fillId="0" borderId="60" xfId="1" applyNumberFormat="1" applyFont="1" applyFill="1" applyBorder="1" applyAlignment="1">
      <alignment horizontal="left" vertical="center" wrapText="1"/>
    </xf>
    <xf numFmtId="3" fontId="5" fillId="0" borderId="60" xfId="1" applyNumberFormat="1" applyFont="1" applyFill="1" applyBorder="1" applyAlignment="1">
      <alignment horizontal="center" vertical="center"/>
    </xf>
    <xf numFmtId="3" fontId="5" fillId="0" borderId="79" xfId="1" applyNumberFormat="1" applyFont="1" applyFill="1" applyBorder="1" applyAlignment="1">
      <alignment horizontal="center" vertical="center"/>
    </xf>
    <xf numFmtId="49" fontId="5" fillId="0" borderId="60" xfId="7" applyNumberFormat="1" applyFont="1" applyFill="1" applyBorder="1" applyAlignment="1">
      <alignment vertical="center" wrapText="1"/>
    </xf>
    <xf numFmtId="1" fontId="5" fillId="0" borderId="60" xfId="7" applyNumberFormat="1" applyFont="1" applyFill="1" applyBorder="1" applyAlignment="1">
      <alignment horizontal="center" vertical="center"/>
    </xf>
    <xf numFmtId="1" fontId="5" fillId="0" borderId="79" xfId="7" applyNumberFormat="1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" fontId="5" fillId="0" borderId="12" xfId="7" applyNumberFormat="1" applyFont="1" applyFill="1" applyBorder="1" applyAlignment="1">
      <alignment vertical="center"/>
    </xf>
    <xf numFmtId="3" fontId="5" fillId="0" borderId="57" xfId="1" applyNumberFormat="1" applyFont="1" applyFill="1" applyBorder="1" applyAlignment="1">
      <alignment horizontal="right" vertical="center"/>
    </xf>
    <xf numFmtId="3" fontId="5" fillId="0" borderId="58" xfId="1" applyNumberFormat="1" applyFont="1" applyFill="1" applyBorder="1" applyAlignment="1">
      <alignment horizontal="right" vertical="center"/>
    </xf>
    <xf numFmtId="0" fontId="0" fillId="0" borderId="25" xfId="0" applyFill="1" applyBorder="1" applyAlignment="1">
      <alignment horizontal="right" vertical="center"/>
    </xf>
    <xf numFmtId="0" fontId="0" fillId="0" borderId="36" xfId="0" applyFill="1" applyBorder="1" applyAlignment="1">
      <alignment horizontal="left" vertical="center" wrapText="1"/>
    </xf>
    <xf numFmtId="0" fontId="0" fillId="0" borderId="85" xfId="0" applyFill="1" applyBorder="1" applyAlignment="1">
      <alignment horizontal="left" vertical="center" wrapText="1"/>
    </xf>
    <xf numFmtId="0" fontId="5" fillId="0" borderId="82" xfId="8" applyFont="1" applyFill="1" applyBorder="1" applyAlignment="1">
      <alignment horizontal="center" vertical="center" textRotation="90" wrapText="1"/>
    </xf>
    <xf numFmtId="0" fontId="5" fillId="0" borderId="18" xfId="8" applyFont="1" applyFill="1" applyBorder="1" applyAlignment="1">
      <alignment horizontal="center" vertical="center" textRotation="90" wrapText="1"/>
    </xf>
    <xf numFmtId="0" fontId="5" fillId="0" borderId="19" xfId="8" applyFont="1" applyFill="1" applyBorder="1" applyAlignment="1">
      <alignment horizontal="center" vertical="center" textRotation="90" wrapText="1"/>
    </xf>
    <xf numFmtId="0" fontId="5" fillId="0" borderId="19" xfId="0" applyFont="1" applyFill="1" applyBorder="1" applyAlignment="1">
      <alignment horizontal="center" vertical="center" textRotation="90" wrapText="1"/>
    </xf>
    <xf numFmtId="49" fontId="5" fillId="0" borderId="40" xfId="7" applyNumberFormat="1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/>
    </xf>
    <xf numFmtId="1" fontId="5" fillId="0" borderId="70" xfId="7" applyNumberFormat="1" applyFont="1" applyFill="1" applyBorder="1" applyAlignment="1">
      <alignment vertical="center"/>
    </xf>
    <xf numFmtId="1" fontId="5" fillId="0" borderId="78" xfId="7" applyNumberFormat="1" applyFont="1" applyFill="1" applyBorder="1" applyAlignment="1">
      <alignment vertical="center"/>
    </xf>
    <xf numFmtId="0" fontId="0" fillId="0" borderId="91" xfId="0" applyFill="1" applyBorder="1" applyAlignment="1">
      <alignment vertical="center"/>
    </xf>
    <xf numFmtId="49" fontId="5" fillId="0" borderId="86" xfId="7" applyNumberFormat="1" applyFont="1" applyFill="1" applyBorder="1" applyAlignment="1">
      <alignment vertical="center" wrapText="1"/>
    </xf>
    <xf numFmtId="0" fontId="1" fillId="0" borderId="24" xfId="0" applyFont="1" applyFill="1" applyBorder="1" applyAlignment="1">
      <alignment horizontal="right" vertical="center"/>
    </xf>
    <xf numFmtId="0" fontId="4" fillId="0" borderId="36" xfId="0" applyFont="1" applyFill="1" applyBorder="1" applyAlignment="1">
      <alignment vertical="top"/>
    </xf>
    <xf numFmtId="165" fontId="5" fillId="0" borderId="70" xfId="7" applyNumberFormat="1" applyFont="1" applyFill="1" applyBorder="1" applyAlignment="1">
      <alignment horizontal="right" vertical="center" wrapText="1"/>
    </xf>
    <xf numFmtId="165" fontId="5" fillId="0" borderId="60" xfId="7" applyNumberFormat="1" applyFont="1" applyFill="1" applyBorder="1" applyAlignment="1">
      <alignment horizontal="right" vertical="center" wrapText="1"/>
    </xf>
    <xf numFmtId="165" fontId="5" fillId="0" borderId="22" xfId="7" applyNumberFormat="1" applyFont="1" applyFill="1" applyBorder="1" applyAlignment="1">
      <alignment horizontal="right" vertical="center" wrapText="1"/>
    </xf>
    <xf numFmtId="165" fontId="5" fillId="0" borderId="30" xfId="7" applyNumberFormat="1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49" fontId="5" fillId="0" borderId="70" xfId="7" applyNumberFormat="1" applyFont="1" applyFill="1" applyBorder="1" applyAlignment="1">
      <alignment vertical="center"/>
    </xf>
    <xf numFmtId="49" fontId="5" fillId="0" borderId="60" xfId="7" applyNumberFormat="1" applyFont="1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/>
    </xf>
    <xf numFmtId="165" fontId="0" fillId="0" borderId="13" xfId="0" applyNumberFormat="1" applyFill="1" applyBorder="1" applyAlignment="1">
      <alignment horizontal="right" vertical="center"/>
    </xf>
    <xf numFmtId="0" fontId="13" fillId="0" borderId="85" xfId="3" applyFont="1" applyFill="1" applyBorder="1" applyAlignment="1">
      <alignment horizontal="right" vertical="top"/>
    </xf>
    <xf numFmtId="0" fontId="5" fillId="0" borderId="82" xfId="0" applyFont="1" applyFill="1" applyBorder="1" applyAlignment="1">
      <alignment horizontal="center" vertical="center" textRotation="90" wrapText="1"/>
    </xf>
    <xf numFmtId="0" fontId="0" fillId="0" borderId="16" xfId="0" applyFill="1" applyBorder="1" applyAlignment="1">
      <alignment horizontal="left" vertical="center" wrapText="1"/>
    </xf>
    <xf numFmtId="49" fontId="5" fillId="0" borderId="2" xfId="7" applyNumberFormat="1" applyFont="1" applyFill="1" applyBorder="1" applyAlignment="1">
      <alignment vertical="center"/>
    </xf>
    <xf numFmtId="0" fontId="0" fillId="0" borderId="60" xfId="0" applyFill="1" applyBorder="1" applyAlignment="1">
      <alignment horizontal="left" vertical="center" wrapText="1"/>
    </xf>
    <xf numFmtId="49" fontId="5" fillId="0" borderId="26" xfId="7" applyNumberFormat="1" applyFont="1" applyFill="1" applyBorder="1" applyAlignment="1">
      <alignment horizontal="left" vertical="center" wrapText="1"/>
    </xf>
    <xf numFmtId="0" fontId="0" fillId="0" borderId="28" xfId="0" applyFill="1" applyBorder="1" applyAlignment="1">
      <alignment horizontal="left" vertical="center" wrapText="1"/>
    </xf>
    <xf numFmtId="0" fontId="0" fillId="0" borderId="57" xfId="0" applyFill="1" applyBorder="1" applyAlignment="1">
      <alignment horizontal="left" vertical="center"/>
    </xf>
    <xf numFmtId="0" fontId="0" fillId="0" borderId="84" xfId="0" applyFill="1" applyBorder="1" applyAlignment="1">
      <alignment horizontal="left" vertical="center"/>
    </xf>
    <xf numFmtId="0" fontId="18" fillId="0" borderId="68" xfId="3" applyFont="1" applyFill="1" applyBorder="1" applyAlignment="1">
      <alignment horizontal="center" vertical="center" wrapText="1"/>
    </xf>
    <xf numFmtId="0" fontId="18" fillId="0" borderId="95" xfId="3" applyFont="1" applyFill="1" applyBorder="1" applyAlignment="1">
      <alignment horizontal="center" vertical="center"/>
    </xf>
    <xf numFmtId="0" fontId="18" fillId="0" borderId="63" xfId="3" applyFont="1" applyFill="1" applyBorder="1" applyAlignment="1">
      <alignment horizontal="center" vertical="center"/>
    </xf>
    <xf numFmtId="0" fontId="18" fillId="0" borderId="64" xfId="3" applyFont="1" applyFill="1" applyBorder="1" applyAlignment="1">
      <alignment horizontal="center" vertical="center"/>
    </xf>
    <xf numFmtId="0" fontId="5" fillId="0" borderId="60" xfId="7" applyNumberFormat="1" applyFont="1" applyFill="1" applyBorder="1" applyAlignment="1">
      <alignment horizontal="right" vertical="center" wrapText="1"/>
    </xf>
    <xf numFmtId="49" fontId="5" fillId="0" borderId="13" xfId="7" applyNumberFormat="1" applyFont="1" applyFill="1" applyBorder="1" applyAlignment="1">
      <alignment horizontal="right" vertical="center" wrapText="1"/>
    </xf>
    <xf numFmtId="0" fontId="5" fillId="0" borderId="79" xfId="7" applyNumberFormat="1" applyFont="1" applyFill="1" applyBorder="1" applyAlignment="1">
      <alignment horizontal="right" vertical="center" wrapText="1"/>
    </xf>
    <xf numFmtId="49" fontId="5" fillId="0" borderId="55" xfId="7" applyNumberFormat="1" applyFont="1" applyFill="1" applyBorder="1" applyAlignment="1">
      <alignment horizontal="right" vertical="center" wrapText="1"/>
    </xf>
    <xf numFmtId="165" fontId="0" fillId="0" borderId="60" xfId="0" applyNumberFormat="1" applyFill="1" applyBorder="1" applyAlignment="1">
      <alignment horizontal="right" vertical="center"/>
    </xf>
    <xf numFmtId="0" fontId="3" fillId="0" borderId="76" xfId="3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/>
    </xf>
    <xf numFmtId="0" fontId="3" fillId="0" borderId="73" xfId="3" applyFont="1" applyFill="1" applyBorder="1" applyAlignment="1">
      <alignment horizontal="center" vertical="center"/>
    </xf>
    <xf numFmtId="0" fontId="9" fillId="0" borderId="8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82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70" xfId="0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165" fontId="5" fillId="2" borderId="3" xfId="7" applyNumberFormat="1" applyFont="1" applyFill="1" applyBorder="1" applyAlignment="1">
      <alignment horizontal="right" vertical="center"/>
    </xf>
    <xf numFmtId="49" fontId="5" fillId="2" borderId="12" xfId="0" applyNumberFormat="1" applyFont="1" applyFill="1" applyBorder="1" applyAlignment="1">
      <alignment horizontal="left" vertical="center"/>
    </xf>
    <xf numFmtId="49" fontId="5" fillId="2" borderId="13" xfId="0" applyNumberFormat="1" applyFont="1" applyFill="1" applyBorder="1" applyAlignment="1">
      <alignment horizontal="left" vertical="center"/>
    </xf>
    <xf numFmtId="49" fontId="5" fillId="2" borderId="2" xfId="7" applyNumberFormat="1" applyFont="1" applyFill="1" applyBorder="1" applyAlignment="1">
      <alignment horizontal="center" vertical="center"/>
    </xf>
    <xf numFmtId="49" fontId="5" fillId="2" borderId="10" xfId="7" applyNumberFormat="1" applyFont="1" applyFill="1" applyBorder="1" applyAlignment="1">
      <alignment horizontal="center"/>
    </xf>
    <xf numFmtId="165" fontId="5" fillId="2" borderId="2" xfId="7" applyNumberFormat="1" applyFont="1" applyFill="1" applyBorder="1" applyAlignment="1">
      <alignment horizontal="right" vertical="center"/>
    </xf>
    <xf numFmtId="0" fontId="5" fillId="2" borderId="12" xfId="0" applyNumberFormat="1" applyFont="1" applyFill="1" applyBorder="1" applyAlignment="1">
      <alignment horizontal="left" vertical="center"/>
    </xf>
    <xf numFmtId="0" fontId="5" fillId="2" borderId="13" xfId="0" applyNumberFormat="1" applyFont="1" applyFill="1" applyBorder="1" applyAlignment="1">
      <alignment horizontal="left" vertical="center"/>
    </xf>
  </cellXfs>
  <cellStyles count="15">
    <cellStyle name="Excel Built-in Normal" xfId="1" xr:uid="{00000000-0005-0000-0000-000000000000}"/>
    <cellStyle name="Įprastas" xfId="0" builtinId="0"/>
    <cellStyle name="Įprastas 2" xfId="2" xr:uid="{00000000-0005-0000-0000-000002000000}"/>
    <cellStyle name="Įprastas 2 2" xfId="3" xr:uid="{00000000-0005-0000-0000-000003000000}"/>
    <cellStyle name="Įprastas 3" xfId="4" xr:uid="{00000000-0005-0000-0000-000004000000}"/>
    <cellStyle name="Įprastas 5" xfId="5" xr:uid="{00000000-0005-0000-0000-000005000000}"/>
    <cellStyle name="Kablelis" xfId="6" builtinId="3"/>
    <cellStyle name="Normal_1234LENT" xfId="7" xr:uid="{00000000-0005-0000-0000-000007000000}"/>
    <cellStyle name="Normal_7oji" xfId="8" xr:uid="{00000000-0005-0000-0000-000008000000}"/>
    <cellStyle name="Paprastas_Knyga6" xfId="9" xr:uid="{00000000-0005-0000-0000-000009000000}"/>
    <cellStyle name="Procentai" xfId="10" builtinId="5"/>
    <cellStyle name="Procentai 2" xfId="11" xr:uid="{00000000-0005-0000-0000-00000B000000}"/>
    <cellStyle name="Procentai 3" xfId="12" xr:uid="{00000000-0005-0000-0000-00000C000000}"/>
    <cellStyle name="Procentai 3 2" xfId="13" xr:uid="{00000000-0005-0000-0000-00000D000000}"/>
    <cellStyle name="Procentinė reikšmė_Lapas2" xfId="14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276225</xdr:colOff>
      <xdr:row>91</xdr:row>
      <xdr:rowOff>97155</xdr:rowOff>
    </xdr:from>
    <xdr:to>
      <xdr:col>3</xdr:col>
      <xdr:colOff>314325</xdr:colOff>
      <xdr:row>94</xdr:row>
      <xdr:rowOff>1905</xdr:rowOff>
    </xdr:to>
    <xdr:sp macro="" textlink="">
      <xdr:nvSpPr>
        <xdr:cNvPr id="42765" name="Text Box 37" hidden="1">
          <a:extLst>
            <a:ext uri="{FF2B5EF4-FFF2-40B4-BE49-F238E27FC236}">
              <a16:creationId xmlns:a16="http://schemas.microsoft.com/office/drawing/2014/main" id="{00000000-0008-0000-0600-00000DA70000}"/>
            </a:ext>
          </a:extLst>
        </xdr:cNvPr>
        <xdr:cNvSpPr txBox="1">
          <a:spLocks noChangeArrowheads="1"/>
        </xdr:cNvSpPr>
      </xdr:nvSpPr>
      <xdr:spPr bwMode="auto">
        <a:xfrm>
          <a:off x="723900" y="21478875"/>
          <a:ext cx="1209675" cy="704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196215</xdr:colOff>
      <xdr:row>108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898091" y="28008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t-LT"/>
        </a:p>
      </xdr:txBody>
    </xdr:sp>
    <xdr:clientData/>
  </xdr:one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1"/>
  <sheetViews>
    <sheetView tabSelected="1" zoomScaleNormal="100" zoomScaleSheetLayoutView="100" workbookViewId="0">
      <selection activeCell="F85" sqref="F85:F86"/>
    </sheetView>
  </sheetViews>
  <sheetFormatPr defaultColWidth="7.85546875" defaultRowHeight="12.75"/>
  <cols>
    <col min="1" max="1" width="7.5703125" style="54" customWidth="1"/>
    <col min="2" max="2" width="10.42578125" style="2" customWidth="1"/>
    <col min="3" max="5" width="9.5703125" style="2" customWidth="1"/>
    <col min="6" max="6" width="22.28515625" style="2" customWidth="1"/>
    <col min="7" max="8" width="8.7109375" style="2" customWidth="1"/>
    <col min="9" max="10" width="8.7109375" style="226" customWidth="1"/>
    <col min="11" max="11" width="31.42578125" style="226" customWidth="1"/>
    <col min="12" max="12" width="7.5703125" style="2" customWidth="1"/>
    <col min="13" max="14" width="6.5703125" style="2" customWidth="1"/>
    <col min="15" max="16384" width="7.85546875" style="226"/>
  </cols>
  <sheetData>
    <row r="1" spans="1:14" ht="15.75" customHeight="1">
      <c r="A1" s="42" t="s">
        <v>406</v>
      </c>
      <c r="B1" s="43"/>
      <c r="C1" s="43"/>
      <c r="D1" s="43"/>
      <c r="E1" s="43"/>
      <c r="F1" s="43"/>
      <c r="G1" s="43"/>
      <c r="H1" s="43"/>
      <c r="I1" s="43"/>
      <c r="J1" s="43"/>
      <c r="K1" s="226" t="s">
        <v>405</v>
      </c>
      <c r="M1" s="417"/>
      <c r="N1" s="417"/>
    </row>
    <row r="2" spans="1:14" ht="15.75" customHeight="1">
      <c r="A2" s="44" t="s">
        <v>67</v>
      </c>
      <c r="B2" s="45"/>
      <c r="C2" s="45"/>
      <c r="D2" s="45"/>
      <c r="E2" s="45"/>
      <c r="F2" s="45"/>
      <c r="G2" s="45"/>
      <c r="H2" s="45"/>
      <c r="I2" s="45"/>
      <c r="J2" s="45"/>
      <c r="K2" s="226" t="s">
        <v>65</v>
      </c>
      <c r="M2" s="490"/>
      <c r="N2" s="490"/>
    </row>
    <row r="3" spans="1:14" ht="15.75">
      <c r="A3" s="491" t="s">
        <v>75</v>
      </c>
      <c r="B3" s="491"/>
      <c r="C3" s="491"/>
      <c r="D3" s="491"/>
      <c r="E3" s="491"/>
      <c r="F3" s="491"/>
      <c r="G3" s="491"/>
      <c r="H3" s="491"/>
      <c r="I3" s="491"/>
      <c r="J3" s="491"/>
      <c r="K3" s="226" t="s">
        <v>66</v>
      </c>
      <c r="M3" s="492"/>
      <c r="N3" s="492"/>
    </row>
    <row r="4" spans="1:14" ht="13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226" t="s">
        <v>49</v>
      </c>
      <c r="M4" s="3"/>
    </row>
    <row r="5" spans="1:14" ht="29.25" customHeight="1">
      <c r="A5" s="1182" t="s">
        <v>68</v>
      </c>
      <c r="B5" s="1185" t="s">
        <v>69</v>
      </c>
      <c r="C5" s="1185" t="s">
        <v>70</v>
      </c>
      <c r="D5" s="1188" t="s">
        <v>27</v>
      </c>
      <c r="E5" s="1191" t="s">
        <v>71</v>
      </c>
      <c r="F5" s="1185" t="s">
        <v>5</v>
      </c>
      <c r="G5" s="1236" t="s">
        <v>72</v>
      </c>
      <c r="H5" s="1185" t="s">
        <v>449</v>
      </c>
      <c r="I5" s="1233" t="s">
        <v>390</v>
      </c>
      <c r="J5" s="1230" t="s">
        <v>450</v>
      </c>
      <c r="K5" s="1222" t="s">
        <v>73</v>
      </c>
      <c r="L5" s="1223"/>
      <c r="M5" s="1223"/>
      <c r="N5" s="1224"/>
    </row>
    <row r="6" spans="1:14" ht="26.25" customHeight="1">
      <c r="A6" s="1183"/>
      <c r="B6" s="1186"/>
      <c r="C6" s="1186"/>
      <c r="D6" s="1189"/>
      <c r="E6" s="1192"/>
      <c r="F6" s="1186"/>
      <c r="G6" s="1237"/>
      <c r="H6" s="1186"/>
      <c r="I6" s="1234"/>
      <c r="J6" s="1231"/>
      <c r="K6" s="1225" t="s">
        <v>27</v>
      </c>
      <c r="L6" s="1227" t="s">
        <v>74</v>
      </c>
      <c r="M6" s="1228"/>
      <c r="N6" s="1229"/>
    </row>
    <row r="7" spans="1:14" ht="118.5" customHeight="1" thickBot="1">
      <c r="A7" s="1184"/>
      <c r="B7" s="1187"/>
      <c r="C7" s="1187"/>
      <c r="D7" s="1190"/>
      <c r="E7" s="1193"/>
      <c r="F7" s="1187"/>
      <c r="G7" s="1238"/>
      <c r="H7" s="1187"/>
      <c r="I7" s="1235"/>
      <c r="J7" s="1232"/>
      <c r="K7" s="1226"/>
      <c r="L7" s="46" t="s">
        <v>177</v>
      </c>
      <c r="M7" s="46" t="s">
        <v>278</v>
      </c>
      <c r="N7" s="47" t="s">
        <v>407</v>
      </c>
    </row>
    <row r="8" spans="1:14" ht="21.6" customHeight="1">
      <c r="A8" s="1202" t="s">
        <v>57</v>
      </c>
      <c r="B8" s="1214" t="s">
        <v>432</v>
      </c>
      <c r="C8" s="1210" t="s">
        <v>59</v>
      </c>
      <c r="D8" s="1131"/>
      <c r="E8" s="1132"/>
      <c r="F8" s="493" t="s">
        <v>419</v>
      </c>
      <c r="G8" s="494" t="s">
        <v>92</v>
      </c>
      <c r="H8" s="928">
        <v>494.6</v>
      </c>
      <c r="I8" s="448">
        <f>H8*1.006</f>
        <v>497.56760000000003</v>
      </c>
      <c r="J8" s="448">
        <f>I8*1.006</f>
        <v>500.55300560000001</v>
      </c>
      <c r="K8" s="626" t="s">
        <v>569</v>
      </c>
      <c r="L8" s="269">
        <v>346</v>
      </c>
      <c r="M8" s="269">
        <v>360</v>
      </c>
      <c r="N8" s="495">
        <v>370</v>
      </c>
    </row>
    <row r="9" spans="1:14" ht="12" customHeight="1">
      <c r="A9" s="1203"/>
      <c r="B9" s="1215"/>
      <c r="C9" s="1133"/>
      <c r="D9" s="1134"/>
      <c r="E9" s="1135"/>
      <c r="F9" s="496" t="s">
        <v>133</v>
      </c>
      <c r="G9" s="497" t="s">
        <v>92</v>
      </c>
      <c r="H9" s="930">
        <v>900.1</v>
      </c>
      <c r="I9" s="489">
        <f t="shared" ref="I9:J25" si="0">H9*1.006</f>
        <v>905.50060000000008</v>
      </c>
      <c r="J9" s="489">
        <f t="shared" si="0"/>
        <v>910.93360360000008</v>
      </c>
      <c r="K9" s="35" t="s">
        <v>569</v>
      </c>
      <c r="L9" s="270">
        <v>594</v>
      </c>
      <c r="M9" s="270">
        <v>610</v>
      </c>
      <c r="N9" s="271">
        <v>620</v>
      </c>
    </row>
    <row r="10" spans="1:14" ht="12" customHeight="1">
      <c r="A10" s="1203"/>
      <c r="B10" s="1215"/>
      <c r="C10" s="1133"/>
      <c r="D10" s="1134"/>
      <c r="E10" s="1135"/>
      <c r="F10" s="496" t="s">
        <v>134</v>
      </c>
      <c r="G10" s="497" t="s">
        <v>92</v>
      </c>
      <c r="H10" s="930">
        <v>881.7</v>
      </c>
      <c r="I10" s="489">
        <f t="shared" si="0"/>
        <v>886.99020000000007</v>
      </c>
      <c r="J10" s="489">
        <f t="shared" si="0"/>
        <v>892.31214120000004</v>
      </c>
      <c r="K10" s="35" t="s">
        <v>569</v>
      </c>
      <c r="L10" s="270">
        <v>532</v>
      </c>
      <c r="M10" s="270">
        <v>540</v>
      </c>
      <c r="N10" s="271">
        <v>550</v>
      </c>
    </row>
    <row r="11" spans="1:14" ht="12" customHeight="1">
      <c r="A11" s="1203"/>
      <c r="B11" s="1215"/>
      <c r="C11" s="1133"/>
      <c r="D11" s="1134"/>
      <c r="E11" s="1135"/>
      <c r="F11" s="498" t="s">
        <v>136</v>
      </c>
      <c r="G11" s="497" t="s">
        <v>92</v>
      </c>
      <c r="H11" s="930">
        <v>929.3</v>
      </c>
      <c r="I11" s="489">
        <f t="shared" si="0"/>
        <v>934.87579999999991</v>
      </c>
      <c r="J11" s="489">
        <f t="shared" si="0"/>
        <v>940.48505479999994</v>
      </c>
      <c r="K11" s="35" t="s">
        <v>569</v>
      </c>
      <c r="L11" s="270">
        <v>708</v>
      </c>
      <c r="M11" s="270">
        <v>740</v>
      </c>
      <c r="N11" s="271">
        <v>760</v>
      </c>
    </row>
    <row r="12" spans="1:14" ht="12" customHeight="1">
      <c r="A12" s="1203"/>
      <c r="B12" s="1215"/>
      <c r="C12" s="1133"/>
      <c r="D12" s="1134"/>
      <c r="E12" s="1135"/>
      <c r="F12" s="498" t="s">
        <v>135</v>
      </c>
      <c r="G12" s="497" t="s">
        <v>92</v>
      </c>
      <c r="H12" s="499">
        <v>963.5</v>
      </c>
      <c r="I12" s="489">
        <f t="shared" si="0"/>
        <v>969.28099999999995</v>
      </c>
      <c r="J12" s="489">
        <f t="shared" si="0"/>
        <v>975.09668599999998</v>
      </c>
      <c r="K12" s="35" t="s">
        <v>569</v>
      </c>
      <c r="L12" s="270">
        <v>762</v>
      </c>
      <c r="M12" s="270">
        <v>780</v>
      </c>
      <c r="N12" s="271">
        <v>790</v>
      </c>
    </row>
    <row r="13" spans="1:14" ht="12" customHeight="1">
      <c r="A13" s="1203"/>
      <c r="B13" s="1215"/>
      <c r="C13" s="1133"/>
      <c r="D13" s="1134"/>
      <c r="E13" s="1135"/>
      <c r="F13" s="498" t="s">
        <v>165</v>
      </c>
      <c r="G13" s="497" t="s">
        <v>92</v>
      </c>
      <c r="H13" s="499">
        <v>371.4</v>
      </c>
      <c r="I13" s="489">
        <f t="shared" si="0"/>
        <v>373.6284</v>
      </c>
      <c r="J13" s="489">
        <f t="shared" si="0"/>
        <v>375.87017040000001</v>
      </c>
      <c r="K13" s="35" t="s">
        <v>569</v>
      </c>
      <c r="L13" s="270">
        <v>218</v>
      </c>
      <c r="M13" s="270">
        <v>220</v>
      </c>
      <c r="N13" s="271">
        <v>230</v>
      </c>
    </row>
    <row r="14" spans="1:14" ht="12" customHeight="1">
      <c r="A14" s="1203"/>
      <c r="B14" s="1215"/>
      <c r="C14" s="1133"/>
      <c r="D14" s="1134"/>
      <c r="E14" s="1135"/>
      <c r="F14" s="498" t="s">
        <v>416</v>
      </c>
      <c r="G14" s="497" t="s">
        <v>92</v>
      </c>
      <c r="H14" s="499">
        <v>862.8</v>
      </c>
      <c r="I14" s="489">
        <f t="shared" si="0"/>
        <v>867.97679999999991</v>
      </c>
      <c r="J14" s="489">
        <f t="shared" si="0"/>
        <v>873.18466079999996</v>
      </c>
      <c r="K14" s="35" t="s">
        <v>569</v>
      </c>
      <c r="L14" s="270">
        <v>447</v>
      </c>
      <c r="M14" s="270">
        <v>450</v>
      </c>
      <c r="N14" s="271">
        <v>460</v>
      </c>
    </row>
    <row r="15" spans="1:14" s="4" customFormat="1" ht="12" customHeight="1">
      <c r="A15" s="1203"/>
      <c r="B15" s="1215"/>
      <c r="C15" s="1133"/>
      <c r="D15" s="1134"/>
      <c r="E15" s="1135"/>
      <c r="F15" s="496" t="s">
        <v>167</v>
      </c>
      <c r="G15" s="497" t="s">
        <v>92</v>
      </c>
      <c r="H15" s="499">
        <v>349.7</v>
      </c>
      <c r="I15" s="489">
        <f t="shared" si="0"/>
        <v>351.79820000000001</v>
      </c>
      <c r="J15" s="489">
        <f t="shared" si="0"/>
        <v>353.90898920000001</v>
      </c>
      <c r="K15" s="35" t="s">
        <v>569</v>
      </c>
      <c r="L15" s="270">
        <v>143</v>
      </c>
      <c r="M15" s="270">
        <v>145</v>
      </c>
      <c r="N15" s="271">
        <v>145</v>
      </c>
    </row>
    <row r="16" spans="1:14" ht="22.5">
      <c r="A16" s="1203"/>
      <c r="B16" s="1215"/>
      <c r="C16" s="1133"/>
      <c r="D16" s="1134"/>
      <c r="E16" s="1135"/>
      <c r="F16" s="152" t="s">
        <v>168</v>
      </c>
      <c r="G16" s="497" t="s">
        <v>92</v>
      </c>
      <c r="H16" s="499">
        <v>206.7</v>
      </c>
      <c r="I16" s="489">
        <f t="shared" si="0"/>
        <v>207.94019999999998</v>
      </c>
      <c r="J16" s="489">
        <f t="shared" si="0"/>
        <v>209.18784119999998</v>
      </c>
      <c r="K16" s="35" t="s">
        <v>569</v>
      </c>
      <c r="L16" s="270">
        <v>60</v>
      </c>
      <c r="M16" s="270">
        <v>65</v>
      </c>
      <c r="N16" s="271">
        <v>65</v>
      </c>
    </row>
    <row r="17" spans="1:14" ht="12" customHeight="1">
      <c r="A17" s="1203"/>
      <c r="B17" s="1215"/>
      <c r="C17" s="1133"/>
      <c r="D17" s="1134"/>
      <c r="E17" s="1135"/>
      <c r="F17" s="500" t="s">
        <v>169</v>
      </c>
      <c r="G17" s="497" t="s">
        <v>92</v>
      </c>
      <c r="H17" s="930">
        <v>314.8</v>
      </c>
      <c r="I17" s="489">
        <f t="shared" si="0"/>
        <v>316.68880000000001</v>
      </c>
      <c r="J17" s="489">
        <f t="shared" si="0"/>
        <v>318.58893280000001</v>
      </c>
      <c r="K17" s="35" t="s">
        <v>569</v>
      </c>
      <c r="L17" s="270">
        <v>98</v>
      </c>
      <c r="M17" s="270">
        <v>100</v>
      </c>
      <c r="N17" s="271">
        <v>100</v>
      </c>
    </row>
    <row r="18" spans="1:14" ht="22.5">
      <c r="A18" s="1203"/>
      <c r="B18" s="1215"/>
      <c r="C18" s="1133"/>
      <c r="D18" s="1134"/>
      <c r="E18" s="1135"/>
      <c r="F18" s="950" t="s">
        <v>417</v>
      </c>
      <c r="G18" s="497" t="s">
        <v>92</v>
      </c>
      <c r="H18" s="930">
        <v>212.7</v>
      </c>
      <c r="I18" s="489">
        <f t="shared" si="0"/>
        <v>213.97619999999998</v>
      </c>
      <c r="J18" s="489">
        <f t="shared" si="0"/>
        <v>215.26005719999998</v>
      </c>
      <c r="K18" s="35" t="s">
        <v>569</v>
      </c>
      <c r="L18" s="270">
        <v>63</v>
      </c>
      <c r="M18" s="270">
        <v>65</v>
      </c>
      <c r="N18" s="271">
        <v>65</v>
      </c>
    </row>
    <row r="19" spans="1:14" ht="22.5">
      <c r="A19" s="1203"/>
      <c r="B19" s="1215"/>
      <c r="C19" s="1133"/>
      <c r="D19" s="1134"/>
      <c r="E19" s="1135"/>
      <c r="F19" s="949" t="s">
        <v>171</v>
      </c>
      <c r="G19" s="497" t="s">
        <v>92</v>
      </c>
      <c r="H19" s="930">
        <v>701.4</v>
      </c>
      <c r="I19" s="489">
        <f t="shared" si="0"/>
        <v>705.60839999999996</v>
      </c>
      <c r="J19" s="489">
        <f t="shared" si="0"/>
        <v>709.84205039999995</v>
      </c>
      <c r="K19" s="35" t="s">
        <v>569</v>
      </c>
      <c r="L19" s="270">
        <v>306</v>
      </c>
      <c r="M19" s="270">
        <v>310</v>
      </c>
      <c r="N19" s="271">
        <v>310</v>
      </c>
    </row>
    <row r="20" spans="1:14" ht="12" customHeight="1">
      <c r="A20" s="1203"/>
      <c r="B20" s="1215"/>
      <c r="C20" s="1133"/>
      <c r="D20" s="1134"/>
      <c r="E20" s="1135"/>
      <c r="F20" s="498" t="s">
        <v>114</v>
      </c>
      <c r="G20" s="497" t="s">
        <v>92</v>
      </c>
      <c r="H20" s="501">
        <v>311.8</v>
      </c>
      <c r="I20" s="489">
        <f t="shared" si="0"/>
        <v>313.67079999999999</v>
      </c>
      <c r="J20" s="489">
        <f t="shared" si="0"/>
        <v>315.5528248</v>
      </c>
      <c r="K20" s="35" t="s">
        <v>569</v>
      </c>
      <c r="L20" s="270">
        <v>111</v>
      </c>
      <c r="M20" s="270">
        <v>115</v>
      </c>
      <c r="N20" s="271">
        <v>115</v>
      </c>
    </row>
    <row r="21" spans="1:14" ht="12" customHeight="1">
      <c r="A21" s="1203"/>
      <c r="B21" s="1215"/>
      <c r="C21" s="1133"/>
      <c r="D21" s="1134"/>
      <c r="E21" s="1135"/>
      <c r="F21" s="498" t="s">
        <v>418</v>
      </c>
      <c r="G21" s="497" t="s">
        <v>92</v>
      </c>
      <c r="H21" s="502">
        <v>77.5</v>
      </c>
      <c r="I21" s="489">
        <f t="shared" si="0"/>
        <v>77.965000000000003</v>
      </c>
      <c r="J21" s="489">
        <f t="shared" si="0"/>
        <v>78.432789999999997</v>
      </c>
      <c r="K21" s="35" t="s">
        <v>569</v>
      </c>
      <c r="L21" s="270">
        <v>17</v>
      </c>
      <c r="M21" s="270">
        <v>17</v>
      </c>
      <c r="N21" s="271">
        <v>17</v>
      </c>
    </row>
    <row r="22" spans="1:14" ht="12" customHeight="1">
      <c r="A22" s="1203"/>
      <c r="B22" s="1215"/>
      <c r="C22" s="1133"/>
      <c r="D22" s="1134"/>
      <c r="E22" s="1135"/>
      <c r="F22" s="498" t="s">
        <v>173</v>
      </c>
      <c r="G22" s="497" t="s">
        <v>92</v>
      </c>
      <c r="H22" s="502">
        <v>294.10000000000002</v>
      </c>
      <c r="I22" s="489">
        <f t="shared" si="0"/>
        <v>295.86460000000005</v>
      </c>
      <c r="J22" s="489">
        <f t="shared" si="0"/>
        <v>297.63978760000003</v>
      </c>
      <c r="K22" s="35" t="s">
        <v>569</v>
      </c>
      <c r="L22" s="270">
        <v>103</v>
      </c>
      <c r="M22" s="270">
        <v>105</v>
      </c>
      <c r="N22" s="271">
        <v>110</v>
      </c>
    </row>
    <row r="23" spans="1:14" ht="12" customHeight="1">
      <c r="A23" s="1203"/>
      <c r="B23" s="1215"/>
      <c r="C23" s="1133"/>
      <c r="D23" s="1134"/>
      <c r="E23" s="1135"/>
      <c r="F23" s="498" t="s">
        <v>174</v>
      </c>
      <c r="G23" s="497" t="s">
        <v>92</v>
      </c>
      <c r="H23" s="502">
        <v>308.89999999999998</v>
      </c>
      <c r="I23" s="489">
        <f t="shared" si="0"/>
        <v>310.7534</v>
      </c>
      <c r="J23" s="489">
        <f t="shared" si="0"/>
        <v>312.6179204</v>
      </c>
      <c r="K23" s="35" t="s">
        <v>569</v>
      </c>
      <c r="L23" s="270">
        <v>106</v>
      </c>
      <c r="M23" s="270">
        <v>115</v>
      </c>
      <c r="N23" s="271">
        <v>120</v>
      </c>
    </row>
    <row r="24" spans="1:14" ht="12" customHeight="1">
      <c r="A24" s="1203"/>
      <c r="B24" s="1215"/>
      <c r="C24" s="1133"/>
      <c r="D24" s="1134"/>
      <c r="E24" s="1135"/>
      <c r="F24" s="498" t="s">
        <v>175</v>
      </c>
      <c r="G24" s="497" t="s">
        <v>92</v>
      </c>
      <c r="H24" s="502">
        <v>285.2</v>
      </c>
      <c r="I24" s="489">
        <f>H24*1.006</f>
        <v>286.91120000000001</v>
      </c>
      <c r="J24" s="489">
        <f>I24*1.006</f>
        <v>288.63266720000001</v>
      </c>
      <c r="K24" s="35" t="s">
        <v>569</v>
      </c>
      <c r="L24" s="270">
        <v>231</v>
      </c>
      <c r="M24" s="270">
        <v>235</v>
      </c>
      <c r="N24" s="271">
        <v>235</v>
      </c>
    </row>
    <row r="25" spans="1:14" ht="12" customHeight="1" thickBot="1">
      <c r="A25" s="1203"/>
      <c r="B25" s="1215"/>
      <c r="C25" s="1136"/>
      <c r="D25" s="1137"/>
      <c r="E25" s="1138"/>
      <c r="F25" s="629" t="s">
        <v>176</v>
      </c>
      <c r="G25" s="630" t="s">
        <v>92</v>
      </c>
      <c r="H25" s="631">
        <v>330</v>
      </c>
      <c r="I25" s="476">
        <f t="shared" si="0"/>
        <v>331.98</v>
      </c>
      <c r="J25" s="476">
        <f t="shared" si="0"/>
        <v>333.97188</v>
      </c>
      <c r="K25" s="632" t="s">
        <v>569</v>
      </c>
      <c r="L25" s="278">
        <v>288</v>
      </c>
      <c r="M25" s="278">
        <v>290</v>
      </c>
      <c r="N25" s="279">
        <v>295</v>
      </c>
    </row>
    <row r="26" spans="1:14" ht="12" customHeight="1" thickBot="1">
      <c r="A26" s="1203"/>
      <c r="B26" s="1215"/>
      <c r="C26" s="1106" t="s">
        <v>76</v>
      </c>
      <c r="D26" s="1209"/>
      <c r="E26" s="1209"/>
      <c r="F26" s="1209"/>
      <c r="G26" s="1209"/>
      <c r="H26" s="628">
        <f>SUM(H8:H25)</f>
        <v>8796.1999999999989</v>
      </c>
      <c r="I26" s="60">
        <f>SUM(I8:I25)</f>
        <v>8848.9772000000012</v>
      </c>
      <c r="J26" s="90">
        <f>SUM(J8:J25)</f>
        <v>8902.0710631999991</v>
      </c>
      <c r="K26" s="627" t="s">
        <v>570</v>
      </c>
      <c r="L26" s="260">
        <f>SUM(L8:L25)</f>
        <v>5133</v>
      </c>
      <c r="M26" s="260">
        <f>SUM(M8:M25)</f>
        <v>5262</v>
      </c>
      <c r="N26" s="261">
        <f>SUM(N8:N25)</f>
        <v>5357</v>
      </c>
    </row>
    <row r="27" spans="1:14" ht="22.9" customHeight="1">
      <c r="A27" s="1203"/>
      <c r="B27" s="1215"/>
      <c r="C27" s="1210" t="s">
        <v>56</v>
      </c>
      <c r="D27" s="1131"/>
      <c r="E27" s="1132"/>
      <c r="F27" s="913" t="s">
        <v>419</v>
      </c>
      <c r="G27" s="914" t="s">
        <v>79</v>
      </c>
      <c r="H27" s="956">
        <f>699.2-494.6-12</f>
        <v>192.60000000000002</v>
      </c>
      <c r="I27" s="915">
        <f>H27*1.006</f>
        <v>193.75560000000002</v>
      </c>
      <c r="J27" s="915">
        <f>I27*1.006</f>
        <v>194.9181336</v>
      </c>
      <c r="K27" s="372" t="s">
        <v>569</v>
      </c>
      <c r="L27" s="269">
        <f t="shared" ref="L27:N28" si="1">L8</f>
        <v>346</v>
      </c>
      <c r="M27" s="269">
        <f t="shared" si="1"/>
        <v>360</v>
      </c>
      <c r="N27" s="275">
        <f t="shared" si="1"/>
        <v>370</v>
      </c>
    </row>
    <row r="28" spans="1:14" ht="10.5" customHeight="1">
      <c r="A28" s="1203"/>
      <c r="B28" s="1215"/>
      <c r="C28" s="1133"/>
      <c r="D28" s="1239"/>
      <c r="E28" s="1135"/>
      <c r="F28" s="1180" t="s">
        <v>133</v>
      </c>
      <c r="G28" s="55" t="s">
        <v>80</v>
      </c>
      <c r="H28" s="503">
        <v>7.7</v>
      </c>
      <c r="I28" s="155">
        <f t="shared" ref="I28:J61" si="2">H28*1.006</f>
        <v>7.7462</v>
      </c>
      <c r="J28" s="155">
        <f t="shared" si="2"/>
        <v>7.7926772</v>
      </c>
      <c r="K28" s="1180" t="s">
        <v>569</v>
      </c>
      <c r="L28" s="1287">
        <f t="shared" si="1"/>
        <v>594</v>
      </c>
      <c r="M28" s="1287">
        <f t="shared" si="1"/>
        <v>610</v>
      </c>
      <c r="N28" s="1285">
        <f t="shared" si="1"/>
        <v>620</v>
      </c>
    </row>
    <row r="29" spans="1:14" ht="10.5" customHeight="1">
      <c r="A29" s="1203"/>
      <c r="B29" s="1215"/>
      <c r="C29" s="1133"/>
      <c r="D29" s="1239"/>
      <c r="E29" s="1135"/>
      <c r="F29" s="1181"/>
      <c r="G29" s="20" t="s">
        <v>79</v>
      </c>
      <c r="H29" s="957">
        <f>1193.8-900.1-12.8-7.7</f>
        <v>273.19999999999993</v>
      </c>
      <c r="I29" s="155">
        <f t="shared" si="2"/>
        <v>274.83919999999995</v>
      </c>
      <c r="J29" s="155">
        <f t="shared" si="2"/>
        <v>276.48823519999996</v>
      </c>
      <c r="K29" s="1181"/>
      <c r="L29" s="1288"/>
      <c r="M29" s="1288"/>
      <c r="N29" s="1286"/>
    </row>
    <row r="30" spans="1:14" ht="10.5" customHeight="1">
      <c r="A30" s="1203"/>
      <c r="B30" s="1215"/>
      <c r="C30" s="1133"/>
      <c r="D30" s="1239"/>
      <c r="E30" s="1135"/>
      <c r="F30" s="1840" t="s">
        <v>134</v>
      </c>
      <c r="G30" s="1838" t="s">
        <v>80</v>
      </c>
      <c r="H30" s="1839">
        <v>4.8</v>
      </c>
      <c r="I30" s="155">
        <f t="shared" si="2"/>
        <v>4.8288000000000002</v>
      </c>
      <c r="J30" s="155">
        <f t="shared" si="2"/>
        <v>4.8577728000000002</v>
      </c>
      <c r="K30" s="1180" t="s">
        <v>569</v>
      </c>
      <c r="L30" s="1287">
        <f>L10</f>
        <v>532</v>
      </c>
      <c r="M30" s="1287">
        <f>M10</f>
        <v>540</v>
      </c>
      <c r="N30" s="1285">
        <f>N10</f>
        <v>550</v>
      </c>
    </row>
    <row r="31" spans="1:14" ht="10.5" customHeight="1">
      <c r="A31" s="1203"/>
      <c r="B31" s="1215"/>
      <c r="C31" s="1133"/>
      <c r="D31" s="1239"/>
      <c r="E31" s="1135"/>
      <c r="F31" s="1841"/>
      <c r="G31" s="1838" t="s">
        <v>79</v>
      </c>
      <c r="H31" s="1839">
        <f>1178.6-881.7-11.2-4.2</f>
        <v>281.49999999999989</v>
      </c>
      <c r="I31" s="155">
        <f t="shared" si="2"/>
        <v>283.18899999999991</v>
      </c>
      <c r="J31" s="155">
        <f t="shared" si="2"/>
        <v>284.88813399999992</v>
      </c>
      <c r="K31" s="1181"/>
      <c r="L31" s="1288"/>
      <c r="M31" s="1288"/>
      <c r="N31" s="1286"/>
    </row>
    <row r="32" spans="1:14" ht="10.5" customHeight="1">
      <c r="A32" s="1203"/>
      <c r="B32" s="1215"/>
      <c r="C32" s="1133"/>
      <c r="D32" s="1239"/>
      <c r="E32" s="1135"/>
      <c r="F32" s="1198" t="s">
        <v>136</v>
      </c>
      <c r="G32" s="55" t="s">
        <v>80</v>
      </c>
      <c r="H32" s="930">
        <v>6.3</v>
      </c>
      <c r="I32" s="155">
        <f t="shared" si="2"/>
        <v>6.3377999999999997</v>
      </c>
      <c r="J32" s="155">
        <f t="shared" si="2"/>
        <v>6.3758267999999996</v>
      </c>
      <c r="K32" s="1180" t="s">
        <v>569</v>
      </c>
      <c r="L32" s="1287">
        <f>L11</f>
        <v>708</v>
      </c>
      <c r="M32" s="1287">
        <f>M11</f>
        <v>740</v>
      </c>
      <c r="N32" s="1285">
        <f>N11</f>
        <v>760</v>
      </c>
    </row>
    <row r="33" spans="1:18" ht="10.5" customHeight="1">
      <c r="A33" s="1203"/>
      <c r="B33" s="1215"/>
      <c r="C33" s="1133"/>
      <c r="D33" s="1239"/>
      <c r="E33" s="1135"/>
      <c r="F33" s="1199"/>
      <c r="G33" s="55" t="s">
        <v>79</v>
      </c>
      <c r="H33" s="930">
        <f>1228.2-929.3-21.9-6.3</f>
        <v>270.7000000000001</v>
      </c>
      <c r="I33" s="155">
        <f t="shared" si="2"/>
        <v>272.32420000000013</v>
      </c>
      <c r="J33" s="155">
        <f t="shared" si="2"/>
        <v>273.95814520000016</v>
      </c>
      <c r="K33" s="1181"/>
      <c r="L33" s="1288"/>
      <c r="M33" s="1288"/>
      <c r="N33" s="1286"/>
    </row>
    <row r="34" spans="1:18" ht="10.5" customHeight="1">
      <c r="A34" s="1203"/>
      <c r="B34" s="1215"/>
      <c r="C34" s="1133"/>
      <c r="D34" s="1239"/>
      <c r="E34" s="1135"/>
      <c r="F34" s="1198" t="s">
        <v>135</v>
      </c>
      <c r="G34" s="55" t="s">
        <v>80</v>
      </c>
      <c r="H34" s="930">
        <v>5.7</v>
      </c>
      <c r="I34" s="155">
        <f t="shared" si="2"/>
        <v>5.7342000000000004</v>
      </c>
      <c r="J34" s="155">
        <f t="shared" si="2"/>
        <v>5.7686052000000005</v>
      </c>
      <c r="K34" s="1180" t="s">
        <v>569</v>
      </c>
      <c r="L34" s="1287">
        <f>L12</f>
        <v>762</v>
      </c>
      <c r="M34" s="1287">
        <f>M12</f>
        <v>780</v>
      </c>
      <c r="N34" s="1285">
        <f>N12</f>
        <v>790</v>
      </c>
    </row>
    <row r="35" spans="1:18" ht="10.5" customHeight="1">
      <c r="A35" s="1203"/>
      <c r="B35" s="1215"/>
      <c r="C35" s="1133"/>
      <c r="D35" s="1239"/>
      <c r="E35" s="1135"/>
      <c r="F35" s="1199"/>
      <c r="G35" s="55" t="s">
        <v>79</v>
      </c>
      <c r="H35" s="930">
        <f>1282.8-963.5-17.6-5.7</f>
        <v>295.99999999999994</v>
      </c>
      <c r="I35" s="155">
        <f t="shared" si="2"/>
        <v>297.77599999999995</v>
      </c>
      <c r="J35" s="155">
        <f t="shared" si="2"/>
        <v>299.56265599999995</v>
      </c>
      <c r="K35" s="1181"/>
      <c r="L35" s="1288"/>
      <c r="M35" s="1288"/>
      <c r="N35" s="1286"/>
    </row>
    <row r="36" spans="1:18" ht="10.5" customHeight="1">
      <c r="A36" s="1203"/>
      <c r="B36" s="1215"/>
      <c r="C36" s="1133"/>
      <c r="D36" s="1239"/>
      <c r="E36" s="1135"/>
      <c r="F36" s="1198" t="s">
        <v>165</v>
      </c>
      <c r="G36" s="55" t="s">
        <v>80</v>
      </c>
      <c r="H36" s="930">
        <v>8.4</v>
      </c>
      <c r="I36" s="155">
        <f t="shared" si="2"/>
        <v>8.4504000000000001</v>
      </c>
      <c r="J36" s="155">
        <f t="shared" si="2"/>
        <v>8.5011024000000006</v>
      </c>
      <c r="K36" s="1180" t="s">
        <v>569</v>
      </c>
      <c r="L36" s="1287">
        <f>L13</f>
        <v>218</v>
      </c>
      <c r="M36" s="1287">
        <f>M13</f>
        <v>220</v>
      </c>
      <c r="N36" s="1285">
        <f>N13</f>
        <v>230</v>
      </c>
    </row>
    <row r="37" spans="1:18" s="185" customFormat="1" ht="13.5" customHeight="1">
      <c r="A37" s="1203"/>
      <c r="B37" s="1215"/>
      <c r="C37" s="1133"/>
      <c r="D37" s="1239"/>
      <c r="E37" s="1135"/>
      <c r="F37" s="1199"/>
      <c r="G37" s="55" t="s">
        <v>79</v>
      </c>
      <c r="H37" s="930">
        <f>615-371.4-11.9-8.4</f>
        <v>223.3</v>
      </c>
      <c r="I37" s="155">
        <f>H37*1.006</f>
        <v>224.63980000000001</v>
      </c>
      <c r="J37" s="155">
        <f t="shared" si="2"/>
        <v>225.98763880000001</v>
      </c>
      <c r="K37" s="1181"/>
      <c r="L37" s="1288"/>
      <c r="M37" s="1288"/>
      <c r="N37" s="1286"/>
      <c r="O37" s="226"/>
      <c r="P37" s="226"/>
      <c r="Q37" s="226"/>
      <c r="R37" s="226"/>
    </row>
    <row r="38" spans="1:18" ht="10.9" customHeight="1">
      <c r="A38" s="1203"/>
      <c r="B38" s="1215"/>
      <c r="C38" s="1133"/>
      <c r="D38" s="1239"/>
      <c r="E38" s="1135"/>
      <c r="F38" s="1198" t="s">
        <v>416</v>
      </c>
      <c r="G38" s="55" t="s">
        <v>80</v>
      </c>
      <c r="H38" s="930">
        <v>6.6</v>
      </c>
      <c r="I38" s="155">
        <f t="shared" si="2"/>
        <v>6.6395999999999997</v>
      </c>
      <c r="J38" s="155">
        <f t="shared" si="2"/>
        <v>6.6794376</v>
      </c>
      <c r="K38" s="1180" t="s">
        <v>569</v>
      </c>
      <c r="L38" s="1287">
        <f>L14</f>
        <v>447</v>
      </c>
      <c r="M38" s="1287">
        <f>M14</f>
        <v>450</v>
      </c>
      <c r="N38" s="1285">
        <f>N14</f>
        <v>460</v>
      </c>
    </row>
    <row r="39" spans="1:18" ht="10.9" customHeight="1">
      <c r="A39" s="1203"/>
      <c r="B39" s="1215"/>
      <c r="C39" s="1133"/>
      <c r="D39" s="1239"/>
      <c r="E39" s="1135"/>
      <c r="F39" s="1199"/>
      <c r="G39" s="55" t="s">
        <v>79</v>
      </c>
      <c r="H39" s="930">
        <f>1360-862.8-19-45.1-6.6</f>
        <v>426.5</v>
      </c>
      <c r="I39" s="155">
        <f t="shared" si="2"/>
        <v>429.05900000000003</v>
      </c>
      <c r="J39" s="155">
        <f t="shared" si="2"/>
        <v>431.63335400000005</v>
      </c>
      <c r="K39" s="1181"/>
      <c r="L39" s="1288"/>
      <c r="M39" s="1288"/>
      <c r="N39" s="1286"/>
    </row>
    <row r="40" spans="1:18" ht="10.5" customHeight="1">
      <c r="A40" s="1203"/>
      <c r="B40" s="1215"/>
      <c r="C40" s="1133"/>
      <c r="D40" s="1239"/>
      <c r="E40" s="1135"/>
      <c r="F40" s="1180" t="s">
        <v>167</v>
      </c>
      <c r="G40" s="55" t="s">
        <v>80</v>
      </c>
      <c r="H40" s="930">
        <v>3.7</v>
      </c>
      <c r="I40" s="155">
        <f t="shared" si="2"/>
        <v>3.7222000000000004</v>
      </c>
      <c r="J40" s="155">
        <f t="shared" si="2"/>
        <v>3.7445332000000002</v>
      </c>
      <c r="K40" s="1180" t="s">
        <v>569</v>
      </c>
      <c r="L40" s="1287">
        <f>L15</f>
        <v>143</v>
      </c>
      <c r="M40" s="1287">
        <f>M15</f>
        <v>145</v>
      </c>
      <c r="N40" s="1285">
        <f>N15</f>
        <v>145</v>
      </c>
    </row>
    <row r="41" spans="1:18" ht="10.5" customHeight="1">
      <c r="A41" s="1203"/>
      <c r="B41" s="1215"/>
      <c r="C41" s="1133"/>
      <c r="D41" s="1239"/>
      <c r="E41" s="1135"/>
      <c r="F41" s="1181"/>
      <c r="G41" s="55" t="s">
        <v>79</v>
      </c>
      <c r="H41" s="930">
        <f>634.3-349.7-14-3.7</f>
        <v>266.89999999999998</v>
      </c>
      <c r="I41" s="155">
        <f t="shared" si="2"/>
        <v>268.50139999999999</v>
      </c>
      <c r="J41" s="155">
        <f t="shared" si="2"/>
        <v>270.11240839999999</v>
      </c>
      <c r="K41" s="1181"/>
      <c r="L41" s="1288"/>
      <c r="M41" s="1288"/>
      <c r="N41" s="1286"/>
    </row>
    <row r="42" spans="1:18" ht="10.5" customHeight="1">
      <c r="A42" s="1203"/>
      <c r="B42" s="1215"/>
      <c r="C42" s="1133"/>
      <c r="D42" s="1239"/>
      <c r="E42" s="1135"/>
      <c r="F42" s="1198" t="s">
        <v>137</v>
      </c>
      <c r="G42" s="55" t="s">
        <v>80</v>
      </c>
      <c r="H42" s="930">
        <v>3.2</v>
      </c>
      <c r="I42" s="155">
        <f t="shared" si="2"/>
        <v>3.2192000000000003</v>
      </c>
      <c r="J42" s="155">
        <f t="shared" si="2"/>
        <v>3.2385152000000001</v>
      </c>
      <c r="K42" s="1180" t="s">
        <v>569</v>
      </c>
      <c r="L42" s="1287">
        <f>L16</f>
        <v>60</v>
      </c>
      <c r="M42" s="1287">
        <f>M16</f>
        <v>65</v>
      </c>
      <c r="N42" s="1285">
        <f>N16</f>
        <v>65</v>
      </c>
    </row>
    <row r="43" spans="1:18" ht="10.5" customHeight="1">
      <c r="A43" s="1203"/>
      <c r="B43" s="1215"/>
      <c r="C43" s="1133"/>
      <c r="D43" s="1239"/>
      <c r="E43" s="1135"/>
      <c r="F43" s="1199"/>
      <c r="G43" s="11" t="s">
        <v>79</v>
      </c>
      <c r="H43" s="932">
        <f>398.7-206.7-9.7-3.2</f>
        <v>179.10000000000002</v>
      </c>
      <c r="I43" s="155">
        <f t="shared" si="2"/>
        <v>180.17460000000003</v>
      </c>
      <c r="J43" s="155">
        <f t="shared" si="2"/>
        <v>181.25564760000003</v>
      </c>
      <c r="K43" s="1181"/>
      <c r="L43" s="1288"/>
      <c r="M43" s="1288"/>
      <c r="N43" s="1286"/>
    </row>
    <row r="44" spans="1:18" ht="10.5" customHeight="1">
      <c r="A44" s="1203"/>
      <c r="B44" s="1215"/>
      <c r="C44" s="1133"/>
      <c r="D44" s="1239"/>
      <c r="E44" s="1135"/>
      <c r="F44" s="1194" t="s">
        <v>169</v>
      </c>
      <c r="G44" s="55" t="s">
        <v>80</v>
      </c>
      <c r="H44" s="930">
        <v>3.7</v>
      </c>
      <c r="I44" s="125">
        <f t="shared" si="2"/>
        <v>3.7222000000000004</v>
      </c>
      <c r="J44" s="125">
        <f t="shared" si="2"/>
        <v>3.7445332000000002</v>
      </c>
      <c r="K44" s="1180" t="s">
        <v>569</v>
      </c>
      <c r="L44" s="1287">
        <f>L17</f>
        <v>98</v>
      </c>
      <c r="M44" s="1287">
        <f>M17</f>
        <v>100</v>
      </c>
      <c r="N44" s="1285">
        <f>N17</f>
        <v>100</v>
      </c>
    </row>
    <row r="45" spans="1:18" ht="10.5" customHeight="1">
      <c r="A45" s="1203"/>
      <c r="B45" s="1215"/>
      <c r="C45" s="1133"/>
      <c r="D45" s="1239"/>
      <c r="E45" s="1135"/>
      <c r="F45" s="1195"/>
      <c r="G45" s="189" t="s">
        <v>79</v>
      </c>
      <c r="H45" s="930">
        <f>521.9-314.8-11.4-3.7</f>
        <v>191.99999999999997</v>
      </c>
      <c r="I45" s="155">
        <f>H45*1.006</f>
        <v>193.15199999999996</v>
      </c>
      <c r="J45" s="155">
        <f>I45*1.006</f>
        <v>194.31091199999995</v>
      </c>
      <c r="K45" s="1181"/>
      <c r="L45" s="1288"/>
      <c r="M45" s="1288"/>
      <c r="N45" s="1286"/>
    </row>
    <row r="46" spans="1:18" ht="10.5" customHeight="1">
      <c r="A46" s="1203"/>
      <c r="B46" s="1215"/>
      <c r="C46" s="1133"/>
      <c r="D46" s="1239"/>
      <c r="E46" s="1135"/>
      <c r="F46" s="1198" t="s">
        <v>420</v>
      </c>
      <c r="G46" s="55" t="s">
        <v>80</v>
      </c>
      <c r="H46" s="930">
        <v>3.4</v>
      </c>
      <c r="I46" s="155">
        <f t="shared" si="2"/>
        <v>3.4203999999999999</v>
      </c>
      <c r="J46" s="155">
        <f t="shared" si="2"/>
        <v>3.4409223999999998</v>
      </c>
      <c r="K46" s="1180" t="s">
        <v>569</v>
      </c>
      <c r="L46" s="1287">
        <f>L18</f>
        <v>63</v>
      </c>
      <c r="M46" s="1287">
        <f>M18</f>
        <v>65</v>
      </c>
      <c r="N46" s="1285">
        <f>N18</f>
        <v>65</v>
      </c>
    </row>
    <row r="47" spans="1:18" ht="10.5" customHeight="1">
      <c r="A47" s="1203"/>
      <c r="B47" s="1215"/>
      <c r="C47" s="1133"/>
      <c r="D47" s="1239"/>
      <c r="E47" s="1135"/>
      <c r="F47" s="1199"/>
      <c r="G47" s="20" t="s">
        <v>79</v>
      </c>
      <c r="H47" s="503">
        <f>386.8-212.7-10.3-3.4</f>
        <v>160.4</v>
      </c>
      <c r="I47" s="155">
        <f t="shared" si="2"/>
        <v>161.36240000000001</v>
      </c>
      <c r="J47" s="155">
        <f t="shared" si="2"/>
        <v>162.33057440000002</v>
      </c>
      <c r="K47" s="1181"/>
      <c r="L47" s="1288"/>
      <c r="M47" s="1288"/>
      <c r="N47" s="1286"/>
    </row>
    <row r="48" spans="1:18" ht="10.5" customHeight="1">
      <c r="A48" s="1203"/>
      <c r="B48" s="1215"/>
      <c r="C48" s="1133"/>
      <c r="D48" s="1239"/>
      <c r="E48" s="1135"/>
      <c r="F48" s="1196" t="s">
        <v>171</v>
      </c>
      <c r="G48" s="55" t="s">
        <v>80</v>
      </c>
      <c r="H48" s="503">
        <v>15.2</v>
      </c>
      <c r="I48" s="155">
        <f t="shared" si="2"/>
        <v>15.2912</v>
      </c>
      <c r="J48" s="155">
        <f t="shared" si="2"/>
        <v>15.3829472</v>
      </c>
      <c r="K48" s="1180" t="s">
        <v>569</v>
      </c>
      <c r="L48" s="1287">
        <f>L19</f>
        <v>306</v>
      </c>
      <c r="M48" s="1287">
        <f>M19</f>
        <v>310</v>
      </c>
      <c r="N48" s="1285">
        <f>N19</f>
        <v>310</v>
      </c>
    </row>
    <row r="49" spans="1:14" ht="10.5" customHeight="1">
      <c r="A49" s="1203"/>
      <c r="B49" s="1215"/>
      <c r="C49" s="1133"/>
      <c r="D49" s="1239"/>
      <c r="E49" s="1135"/>
      <c r="F49" s="1197"/>
      <c r="G49" s="20" t="s">
        <v>79</v>
      </c>
      <c r="H49" s="503">
        <f>1236.4-701.4-46.3-15.2</f>
        <v>473.50000000000011</v>
      </c>
      <c r="I49" s="155">
        <f t="shared" si="2"/>
        <v>476.34100000000012</v>
      </c>
      <c r="J49" s="155">
        <f t="shared" si="2"/>
        <v>479.19904600000012</v>
      </c>
      <c r="K49" s="1181"/>
      <c r="L49" s="1288"/>
      <c r="M49" s="1288"/>
      <c r="N49" s="1286"/>
    </row>
    <row r="50" spans="1:14" ht="10.5" customHeight="1">
      <c r="A50" s="1203"/>
      <c r="B50" s="1215"/>
      <c r="C50" s="1133"/>
      <c r="D50" s="1239"/>
      <c r="E50" s="1135"/>
      <c r="F50" s="1198" t="s">
        <v>114</v>
      </c>
      <c r="G50" s="55" t="s">
        <v>80</v>
      </c>
      <c r="H50" s="503">
        <v>3.6</v>
      </c>
      <c r="I50" s="155">
        <f t="shared" si="2"/>
        <v>3.6215999999999999</v>
      </c>
      <c r="J50" s="155">
        <f t="shared" si="2"/>
        <v>3.6433295999999999</v>
      </c>
      <c r="K50" s="1180" t="s">
        <v>569</v>
      </c>
      <c r="L50" s="1287">
        <f>L20</f>
        <v>111</v>
      </c>
      <c r="M50" s="1287">
        <f>M20</f>
        <v>115</v>
      </c>
      <c r="N50" s="1285">
        <f>N20</f>
        <v>115</v>
      </c>
    </row>
    <row r="51" spans="1:14" ht="10.5" customHeight="1">
      <c r="A51" s="1203"/>
      <c r="B51" s="1215"/>
      <c r="C51" s="1133"/>
      <c r="D51" s="1239"/>
      <c r="E51" s="1135"/>
      <c r="F51" s="1199"/>
      <c r="G51" s="20" t="s">
        <v>79</v>
      </c>
      <c r="H51" s="503">
        <f>526.5-311.8-10.3-3.6</f>
        <v>200.79999999999998</v>
      </c>
      <c r="I51" s="155">
        <f t="shared" si="2"/>
        <v>202.00479999999999</v>
      </c>
      <c r="J51" s="155">
        <f t="shared" si="2"/>
        <v>203.2168288</v>
      </c>
      <c r="K51" s="1181"/>
      <c r="L51" s="1288"/>
      <c r="M51" s="1288"/>
      <c r="N51" s="1286"/>
    </row>
    <row r="52" spans="1:14" ht="10.5" customHeight="1">
      <c r="A52" s="1203"/>
      <c r="B52" s="1215"/>
      <c r="C52" s="1133"/>
      <c r="D52" s="1239"/>
      <c r="E52" s="1135"/>
      <c r="F52" s="1198" t="s">
        <v>418</v>
      </c>
      <c r="G52" s="55" t="s">
        <v>80</v>
      </c>
      <c r="H52" s="503">
        <v>1.2</v>
      </c>
      <c r="I52" s="155">
        <f t="shared" si="2"/>
        <v>1.2072000000000001</v>
      </c>
      <c r="J52" s="155">
        <f t="shared" si="2"/>
        <v>1.2144432000000001</v>
      </c>
      <c r="K52" s="1180" t="s">
        <v>569</v>
      </c>
      <c r="L52" s="1287">
        <f>L21</f>
        <v>17</v>
      </c>
      <c r="M52" s="1287">
        <f>M21</f>
        <v>17</v>
      </c>
      <c r="N52" s="1285">
        <f>N21</f>
        <v>17</v>
      </c>
    </row>
    <row r="53" spans="1:14" ht="10.5" customHeight="1">
      <c r="A53" s="1203"/>
      <c r="B53" s="1215"/>
      <c r="C53" s="1133"/>
      <c r="D53" s="1239"/>
      <c r="E53" s="1135"/>
      <c r="F53" s="1199"/>
      <c r="G53" s="20" t="s">
        <v>79</v>
      </c>
      <c r="H53" s="503">
        <f>203.9-77.5-0.4-1.2</f>
        <v>124.8</v>
      </c>
      <c r="I53" s="155">
        <f t="shared" si="2"/>
        <v>125.5488</v>
      </c>
      <c r="J53" s="155">
        <f t="shared" si="2"/>
        <v>126.3020928</v>
      </c>
      <c r="K53" s="1181"/>
      <c r="L53" s="1288"/>
      <c r="M53" s="1288"/>
      <c r="N53" s="1286"/>
    </row>
    <row r="54" spans="1:14" ht="10.5" customHeight="1">
      <c r="A54" s="1203"/>
      <c r="B54" s="1215"/>
      <c r="C54" s="1133"/>
      <c r="D54" s="1239"/>
      <c r="E54" s="1135"/>
      <c r="F54" s="1198" t="s">
        <v>138</v>
      </c>
      <c r="G54" s="55" t="s">
        <v>80</v>
      </c>
      <c r="H54" s="503">
        <v>5.4</v>
      </c>
      <c r="I54" s="155">
        <f t="shared" si="2"/>
        <v>5.4324000000000003</v>
      </c>
      <c r="J54" s="155">
        <f t="shared" si="2"/>
        <v>5.4649944000000001</v>
      </c>
      <c r="K54" s="1180" t="s">
        <v>569</v>
      </c>
      <c r="L54" s="1287">
        <f>L22</f>
        <v>103</v>
      </c>
      <c r="M54" s="1287">
        <f>M22</f>
        <v>105</v>
      </c>
      <c r="N54" s="1285">
        <f>N22</f>
        <v>110</v>
      </c>
    </row>
    <row r="55" spans="1:14" ht="10.5" customHeight="1">
      <c r="A55" s="1203"/>
      <c r="B55" s="1215"/>
      <c r="C55" s="1133"/>
      <c r="D55" s="1239"/>
      <c r="E55" s="1135"/>
      <c r="F55" s="1199"/>
      <c r="G55" s="20" t="s">
        <v>79</v>
      </c>
      <c r="H55" s="503">
        <f>526.9-294.1-7.3-5.4</f>
        <v>220.09999999999994</v>
      </c>
      <c r="I55" s="155">
        <f t="shared" si="2"/>
        <v>221.42059999999995</v>
      </c>
      <c r="J55" s="155">
        <f t="shared" si="2"/>
        <v>222.74912359999996</v>
      </c>
      <c r="K55" s="1181"/>
      <c r="L55" s="1288"/>
      <c r="M55" s="1288"/>
      <c r="N55" s="1286"/>
    </row>
    <row r="56" spans="1:14" ht="10.5" customHeight="1">
      <c r="A56" s="1203"/>
      <c r="B56" s="1215"/>
      <c r="C56" s="1133"/>
      <c r="D56" s="1239"/>
      <c r="E56" s="1135"/>
      <c r="F56" s="1198" t="s">
        <v>148</v>
      </c>
      <c r="G56" s="55" t="s">
        <v>80</v>
      </c>
      <c r="H56" s="503">
        <v>15.5</v>
      </c>
      <c r="I56" s="155">
        <f t="shared" si="2"/>
        <v>15.593</v>
      </c>
      <c r="J56" s="155">
        <f t="shared" si="2"/>
        <v>15.686558</v>
      </c>
      <c r="K56" s="1180" t="s">
        <v>569</v>
      </c>
      <c r="L56" s="1287">
        <f>L23</f>
        <v>106</v>
      </c>
      <c r="M56" s="1287">
        <f>M23</f>
        <v>115</v>
      </c>
      <c r="N56" s="1285">
        <f>N23</f>
        <v>120</v>
      </c>
    </row>
    <row r="57" spans="1:14" ht="10.5" customHeight="1">
      <c r="A57" s="1203"/>
      <c r="B57" s="1215"/>
      <c r="C57" s="1133"/>
      <c r="D57" s="1239"/>
      <c r="E57" s="1135"/>
      <c r="F57" s="1199"/>
      <c r="G57" s="20" t="s">
        <v>79</v>
      </c>
      <c r="H57" s="503">
        <f>537.6-308.9-8.7-15.5</f>
        <v>204.50000000000006</v>
      </c>
      <c r="I57" s="155">
        <f t="shared" si="2"/>
        <v>205.72700000000006</v>
      </c>
      <c r="J57" s="155">
        <f t="shared" si="2"/>
        <v>206.96136200000007</v>
      </c>
      <c r="K57" s="1181"/>
      <c r="L57" s="1288"/>
      <c r="M57" s="1288"/>
      <c r="N57" s="1286"/>
    </row>
    <row r="58" spans="1:14" ht="10.5" customHeight="1">
      <c r="A58" s="1203"/>
      <c r="B58" s="1215"/>
      <c r="C58" s="1133"/>
      <c r="D58" s="1239"/>
      <c r="E58" s="1135"/>
      <c r="F58" s="1198" t="s">
        <v>147</v>
      </c>
      <c r="G58" s="55" t="s">
        <v>80</v>
      </c>
      <c r="H58" s="503">
        <v>2.4</v>
      </c>
      <c r="I58" s="155">
        <f t="shared" si="2"/>
        <v>2.4144000000000001</v>
      </c>
      <c r="J58" s="155">
        <f t="shared" si="2"/>
        <v>2.4288864000000001</v>
      </c>
      <c r="K58" s="1180" t="s">
        <v>569</v>
      </c>
      <c r="L58" s="1287">
        <f>L24</f>
        <v>231</v>
      </c>
      <c r="M58" s="1287">
        <f>M24</f>
        <v>235</v>
      </c>
      <c r="N58" s="1285">
        <f>N24</f>
        <v>235</v>
      </c>
    </row>
    <row r="59" spans="1:14" ht="10.5" customHeight="1">
      <c r="A59" s="1203"/>
      <c r="B59" s="1215"/>
      <c r="C59" s="1133"/>
      <c r="D59" s="1239"/>
      <c r="E59" s="1135"/>
      <c r="F59" s="1199"/>
      <c r="G59" s="20" t="s">
        <v>79</v>
      </c>
      <c r="H59" s="503">
        <f>428.8-285.2-7.4-2.4</f>
        <v>133.80000000000001</v>
      </c>
      <c r="I59" s="155">
        <f t="shared" si="2"/>
        <v>134.6028</v>
      </c>
      <c r="J59" s="155">
        <f t="shared" si="2"/>
        <v>135.41041680000001</v>
      </c>
      <c r="K59" s="1181"/>
      <c r="L59" s="1288"/>
      <c r="M59" s="1288"/>
      <c r="N59" s="1286"/>
    </row>
    <row r="60" spans="1:14" ht="10.5" customHeight="1">
      <c r="A60" s="1203"/>
      <c r="B60" s="1215"/>
      <c r="C60" s="1133"/>
      <c r="D60" s="1239"/>
      <c r="E60" s="1135"/>
      <c r="F60" s="1198" t="s">
        <v>176</v>
      </c>
      <c r="G60" s="55" t="s">
        <v>80</v>
      </c>
      <c r="H60" s="503">
        <v>3.3</v>
      </c>
      <c r="I60" s="155">
        <f t="shared" si="2"/>
        <v>3.3197999999999999</v>
      </c>
      <c r="J60" s="155">
        <f t="shared" si="2"/>
        <v>3.3397188</v>
      </c>
      <c r="K60" s="1180" t="s">
        <v>569</v>
      </c>
      <c r="L60" s="1287">
        <f>L25</f>
        <v>288</v>
      </c>
      <c r="M60" s="1287">
        <f>M25</f>
        <v>290</v>
      </c>
      <c r="N60" s="1285">
        <f>N25</f>
        <v>295</v>
      </c>
    </row>
    <row r="61" spans="1:14" ht="10.5" customHeight="1" thickBot="1">
      <c r="A61" s="1203"/>
      <c r="B61" s="1215"/>
      <c r="C61" s="1133"/>
      <c r="D61" s="1239"/>
      <c r="E61" s="1135"/>
      <c r="F61" s="1200"/>
      <c r="G61" s="20" t="s">
        <v>79</v>
      </c>
      <c r="H61" s="503">
        <f>481.3-330-8.1-3.3</f>
        <v>139.9</v>
      </c>
      <c r="I61" s="155">
        <f t="shared" si="2"/>
        <v>140.73940000000002</v>
      </c>
      <c r="J61" s="155">
        <f t="shared" si="2"/>
        <v>141.58383640000002</v>
      </c>
      <c r="K61" s="1181"/>
      <c r="L61" s="1289"/>
      <c r="M61" s="1289"/>
      <c r="N61" s="1290"/>
    </row>
    <row r="62" spans="1:14" ht="15" customHeight="1" thickBot="1">
      <c r="A62" s="1203"/>
      <c r="B62" s="1215"/>
      <c r="C62" s="1211" t="s">
        <v>76</v>
      </c>
      <c r="D62" s="1212"/>
      <c r="E62" s="1212"/>
      <c r="F62" s="1212"/>
      <c r="G62" s="1213"/>
      <c r="H62" s="410">
        <f>SUM(H27:H61)</f>
        <v>4359.7</v>
      </c>
      <c r="I62" s="411">
        <f>SUM(I27:I61)</f>
        <v>4385.8581999999997</v>
      </c>
      <c r="J62" s="412">
        <f>SUM(J27:J61)</f>
        <v>4412.1733492000012</v>
      </c>
      <c r="K62" s="280" t="s">
        <v>570</v>
      </c>
      <c r="L62" s="504">
        <f>SUM(L27:L61)</f>
        <v>5133</v>
      </c>
      <c r="M62" s="504">
        <f>SUM(M27:M61)</f>
        <v>5262</v>
      </c>
      <c r="N62" s="505">
        <f>SUM(N27:N61)</f>
        <v>5357</v>
      </c>
    </row>
    <row r="63" spans="1:14" ht="25.5" customHeight="1" thickBot="1">
      <c r="A63" s="1203"/>
      <c r="B63" s="1215"/>
      <c r="C63" s="1083" t="s">
        <v>769</v>
      </c>
      <c r="D63" s="1084"/>
      <c r="E63" s="1084"/>
      <c r="F63" s="506" t="s">
        <v>416</v>
      </c>
      <c r="G63" s="258" t="s">
        <v>92</v>
      </c>
      <c r="H63" s="296">
        <v>45.1</v>
      </c>
      <c r="I63" s="296">
        <f>H63*1.006</f>
        <v>45.370600000000003</v>
      </c>
      <c r="J63" s="296">
        <f>I63*1.006</f>
        <v>45.642823600000007</v>
      </c>
      <c r="K63" s="364" t="s">
        <v>571</v>
      </c>
      <c r="L63" s="507">
        <v>39</v>
      </c>
      <c r="M63" s="507">
        <v>39</v>
      </c>
      <c r="N63" s="508">
        <v>39</v>
      </c>
    </row>
    <row r="64" spans="1:14" ht="21.75" thickBot="1">
      <c r="A64" s="1203"/>
      <c r="B64" s="1215"/>
      <c r="C64" s="1176" t="s">
        <v>76</v>
      </c>
      <c r="D64" s="1208"/>
      <c r="E64" s="1208"/>
      <c r="F64" s="1208"/>
      <c r="G64" s="1208"/>
      <c r="H64" s="272">
        <f>SUM(H63:H63)</f>
        <v>45.1</v>
      </c>
      <c r="I64" s="273">
        <f>SUM(I63:I63)</f>
        <v>45.370600000000003</v>
      </c>
      <c r="J64" s="273">
        <f>SUM(J63:J63)</f>
        <v>45.642823600000007</v>
      </c>
      <c r="K64" s="274" t="s">
        <v>572</v>
      </c>
      <c r="L64" s="509">
        <f>SUM(L63:L63)</f>
        <v>39</v>
      </c>
      <c r="M64" s="509">
        <f>SUM(M63:M63)</f>
        <v>39</v>
      </c>
      <c r="N64" s="510">
        <f>SUM(N63:N63)</f>
        <v>39</v>
      </c>
    </row>
    <row r="65" spans="1:14" ht="51" customHeight="1" thickBot="1">
      <c r="A65" s="1203"/>
      <c r="B65" s="1216"/>
      <c r="C65" s="1103" t="s">
        <v>770</v>
      </c>
      <c r="D65" s="1104"/>
      <c r="E65" s="1105"/>
      <c r="F65" s="511" t="s">
        <v>112</v>
      </c>
      <c r="G65" s="512" t="s">
        <v>79</v>
      </c>
      <c r="H65" s="942">
        <v>5</v>
      </c>
      <c r="I65" s="513">
        <v>5</v>
      </c>
      <c r="J65" s="513">
        <v>5</v>
      </c>
      <c r="K65" s="514" t="s">
        <v>365</v>
      </c>
      <c r="L65" s="486">
        <v>650</v>
      </c>
      <c r="M65" s="486">
        <v>650</v>
      </c>
      <c r="N65" s="487">
        <v>650</v>
      </c>
    </row>
    <row r="66" spans="1:14" ht="13.5" thickBot="1">
      <c r="A66" s="1203"/>
      <c r="B66" s="1217"/>
      <c r="C66" s="1106" t="s">
        <v>76</v>
      </c>
      <c r="D66" s="1107"/>
      <c r="E66" s="1107"/>
      <c r="F66" s="1107"/>
      <c r="G66" s="1107"/>
      <c r="H66" s="272">
        <f>H65</f>
        <v>5</v>
      </c>
      <c r="I66" s="273">
        <f>I65</f>
        <v>5</v>
      </c>
      <c r="J66" s="273">
        <f>J65</f>
        <v>5</v>
      </c>
      <c r="K66" s="235"/>
      <c r="L66" s="515"/>
      <c r="M66" s="515"/>
      <c r="N66" s="516"/>
    </row>
    <row r="67" spans="1:14" ht="15" customHeight="1" thickBot="1">
      <c r="A67" s="1204"/>
      <c r="B67" s="1205" t="s">
        <v>77</v>
      </c>
      <c r="C67" s="1206"/>
      <c r="D67" s="1206"/>
      <c r="E67" s="1206"/>
      <c r="F67" s="1206"/>
      <c r="G67" s="1207"/>
      <c r="H67" s="281">
        <f>H26+H62+H64+H66</f>
        <v>13205.999999999998</v>
      </c>
      <c r="I67" s="281">
        <f>I26+I62+I64+I66</f>
        <v>13285.206</v>
      </c>
      <c r="J67" s="281">
        <f>J26+J62+J64+J66</f>
        <v>13364.887235999999</v>
      </c>
      <c r="K67" s="95"/>
      <c r="L67" s="34"/>
      <c r="M67" s="34"/>
      <c r="N67" s="87"/>
    </row>
    <row r="68" spans="1:14" ht="14.25" customHeight="1" thickBot="1">
      <c r="A68" s="1173" t="s">
        <v>7</v>
      </c>
      <c r="B68" s="1174"/>
      <c r="C68" s="1174"/>
      <c r="D68" s="1174"/>
      <c r="E68" s="1174"/>
      <c r="F68" s="1174"/>
      <c r="G68" s="1175"/>
      <c r="H68" s="282">
        <f>H67</f>
        <v>13205.999999999998</v>
      </c>
      <c r="I68" s="283">
        <f>I67</f>
        <v>13285.206</v>
      </c>
      <c r="J68" s="284">
        <f>J67</f>
        <v>13364.887235999999</v>
      </c>
      <c r="K68" s="57"/>
      <c r="L68" s="517"/>
      <c r="M68" s="517"/>
      <c r="N68" s="518"/>
    </row>
    <row r="69" spans="1:14" ht="10.5" customHeight="1">
      <c r="A69" s="1170" t="s">
        <v>52</v>
      </c>
      <c r="B69" s="1159" t="s">
        <v>93</v>
      </c>
      <c r="C69" s="1090" t="s">
        <v>771</v>
      </c>
      <c r="D69" s="1131"/>
      <c r="E69" s="1132"/>
      <c r="F69" s="432" t="s">
        <v>415</v>
      </c>
      <c r="G69" s="519" t="s">
        <v>92</v>
      </c>
      <c r="H69" s="929">
        <v>276</v>
      </c>
      <c r="I69" s="448">
        <f>H69*1.006</f>
        <v>277.65600000000001</v>
      </c>
      <c r="J69" s="448">
        <f>I69*1.006</f>
        <v>279.32193599999999</v>
      </c>
      <c r="K69" s="444" t="s">
        <v>530</v>
      </c>
      <c r="L69" s="269">
        <f>L77</f>
        <v>213</v>
      </c>
      <c r="M69" s="269">
        <f>M77</f>
        <v>240</v>
      </c>
      <c r="N69" s="275">
        <f>N77</f>
        <v>240</v>
      </c>
    </row>
    <row r="70" spans="1:14" ht="10.5" customHeight="1">
      <c r="A70" s="1171"/>
      <c r="B70" s="1158"/>
      <c r="C70" s="1133"/>
      <c r="D70" s="1134"/>
      <c r="E70" s="1135"/>
      <c r="F70" s="1" t="s">
        <v>131</v>
      </c>
      <c r="G70" s="520" t="s">
        <v>92</v>
      </c>
      <c r="H70" s="930">
        <v>231.5</v>
      </c>
      <c r="I70" s="489">
        <f t="shared" ref="I70:J75" si="3">H70*1.006</f>
        <v>232.88900000000001</v>
      </c>
      <c r="J70" s="489">
        <f t="shared" si="3"/>
        <v>234.28633400000001</v>
      </c>
      <c r="K70" s="263" t="s">
        <v>530</v>
      </c>
      <c r="L70" s="270">
        <v>234</v>
      </c>
      <c r="M70" s="270">
        <f>M79</f>
        <v>234</v>
      </c>
      <c r="N70" s="271">
        <f>N79</f>
        <v>234</v>
      </c>
    </row>
    <row r="71" spans="1:14" ht="10.5" customHeight="1">
      <c r="A71" s="1171"/>
      <c r="B71" s="1158"/>
      <c r="C71" s="1133"/>
      <c r="D71" s="1134"/>
      <c r="E71" s="1135"/>
      <c r="F71" s="1" t="s">
        <v>117</v>
      </c>
      <c r="G71" s="520" t="s">
        <v>92</v>
      </c>
      <c r="H71" s="930">
        <v>235.2</v>
      </c>
      <c r="I71" s="489">
        <f t="shared" si="3"/>
        <v>236.6112</v>
      </c>
      <c r="J71" s="489">
        <f t="shared" si="3"/>
        <v>238.03086719999999</v>
      </c>
      <c r="K71" s="263" t="s">
        <v>530</v>
      </c>
      <c r="L71" s="270">
        <v>225</v>
      </c>
      <c r="M71" s="270">
        <f>M81</f>
        <v>225</v>
      </c>
      <c r="N71" s="271">
        <f>N81</f>
        <v>225</v>
      </c>
    </row>
    <row r="72" spans="1:14" ht="10.5" customHeight="1">
      <c r="A72" s="1171"/>
      <c r="B72" s="1158"/>
      <c r="C72" s="1133"/>
      <c r="D72" s="1134"/>
      <c r="E72" s="1135"/>
      <c r="F72" s="1" t="s">
        <v>116</v>
      </c>
      <c r="G72" s="520" t="s">
        <v>92</v>
      </c>
      <c r="H72" s="958">
        <v>275.89999999999998</v>
      </c>
      <c r="I72" s="489">
        <f t="shared" si="3"/>
        <v>277.55539999999996</v>
      </c>
      <c r="J72" s="489">
        <f t="shared" si="3"/>
        <v>279.22073239999997</v>
      </c>
      <c r="K72" s="263" t="s">
        <v>530</v>
      </c>
      <c r="L72" s="270">
        <v>220</v>
      </c>
      <c r="M72" s="270">
        <f>M81</f>
        <v>225</v>
      </c>
      <c r="N72" s="271">
        <f>N81</f>
        <v>225</v>
      </c>
    </row>
    <row r="73" spans="1:14" ht="10.5" customHeight="1">
      <c r="A73" s="1171"/>
      <c r="B73" s="1158"/>
      <c r="C73" s="1133"/>
      <c r="D73" s="1134"/>
      <c r="E73" s="1135"/>
      <c r="F73" s="1" t="s">
        <v>132</v>
      </c>
      <c r="G73" s="520" t="s">
        <v>92</v>
      </c>
      <c r="H73" s="959">
        <v>230.9</v>
      </c>
      <c r="I73" s="489">
        <f t="shared" si="3"/>
        <v>232.28540000000001</v>
      </c>
      <c r="J73" s="489">
        <f t="shared" si="3"/>
        <v>233.67911240000001</v>
      </c>
      <c r="K73" s="263" t="s">
        <v>530</v>
      </c>
      <c r="L73" s="270">
        <v>224</v>
      </c>
      <c r="M73" s="270">
        <f>M83</f>
        <v>230</v>
      </c>
      <c r="N73" s="271">
        <f>N83</f>
        <v>230</v>
      </c>
    </row>
    <row r="74" spans="1:14" ht="10.5" customHeight="1">
      <c r="A74" s="1171"/>
      <c r="B74" s="1158"/>
      <c r="C74" s="1133"/>
      <c r="D74" s="1134"/>
      <c r="E74" s="1135"/>
      <c r="F74" s="1" t="s">
        <v>115</v>
      </c>
      <c r="G74" s="520" t="s">
        <v>92</v>
      </c>
      <c r="H74" s="503">
        <v>230.6</v>
      </c>
      <c r="I74" s="489">
        <f t="shared" si="3"/>
        <v>231.9836</v>
      </c>
      <c r="J74" s="489">
        <f t="shared" si="3"/>
        <v>233.37550160000001</v>
      </c>
      <c r="K74" s="263" t="s">
        <v>530</v>
      </c>
      <c r="L74" s="270">
        <v>239</v>
      </c>
      <c r="M74" s="270">
        <f>M85</f>
        <v>230</v>
      </c>
      <c r="N74" s="271">
        <f>N85</f>
        <v>230</v>
      </c>
    </row>
    <row r="75" spans="1:14" ht="10.5" customHeight="1" thickBot="1">
      <c r="A75" s="1171"/>
      <c r="B75" s="1158"/>
      <c r="C75" s="1133"/>
      <c r="D75" s="1134"/>
      <c r="E75" s="1135"/>
      <c r="F75" s="1" t="s">
        <v>366</v>
      </c>
      <c r="G75" s="520" t="s">
        <v>92</v>
      </c>
      <c r="H75" s="930">
        <v>22</v>
      </c>
      <c r="I75" s="489">
        <f t="shared" si="3"/>
        <v>22.132000000000001</v>
      </c>
      <c r="J75" s="489">
        <f t="shared" si="3"/>
        <v>22.264792</v>
      </c>
      <c r="K75" s="263" t="s">
        <v>530</v>
      </c>
      <c r="L75" s="278">
        <v>15</v>
      </c>
      <c r="M75" s="278">
        <v>15</v>
      </c>
      <c r="N75" s="279">
        <v>15</v>
      </c>
    </row>
    <row r="76" spans="1:14" ht="12" customHeight="1" thickBot="1">
      <c r="A76" s="1171"/>
      <c r="B76" s="1158"/>
      <c r="C76" s="1126" t="s">
        <v>76</v>
      </c>
      <c r="D76" s="1129"/>
      <c r="E76" s="1129"/>
      <c r="F76" s="1129"/>
      <c r="G76" s="1130"/>
      <c r="H76" s="414">
        <f>SUM(H69:H75)</f>
        <v>1502.1</v>
      </c>
      <c r="I76" s="414">
        <f>SUM(I69:I75)</f>
        <v>1511.1126000000002</v>
      </c>
      <c r="J76" s="414">
        <f>SUM(J69:J75)</f>
        <v>1520.1792756</v>
      </c>
      <c r="K76" s="59" t="s">
        <v>573</v>
      </c>
      <c r="L76" s="517">
        <f>SUM(L69:L75)</f>
        <v>1370</v>
      </c>
      <c r="M76" s="517">
        <f>SUM(M69:M75)</f>
        <v>1399</v>
      </c>
      <c r="N76" s="518">
        <f>SUM(N69:N75)</f>
        <v>1399</v>
      </c>
    </row>
    <row r="77" spans="1:14" ht="9.6" customHeight="1">
      <c r="A77" s="1171"/>
      <c r="B77" s="1160"/>
      <c r="C77" s="1076" t="s">
        <v>772</v>
      </c>
      <c r="D77" s="1067"/>
      <c r="E77" s="1067"/>
      <c r="F77" s="1201" t="s">
        <v>421</v>
      </c>
      <c r="G77" s="429" t="s">
        <v>79</v>
      </c>
      <c r="H77" s="928">
        <f>802-276-2-84.9-3.3</f>
        <v>435.8</v>
      </c>
      <c r="I77" s="448">
        <f>H77*1.006</f>
        <v>438.41480000000001</v>
      </c>
      <c r="J77" s="448">
        <f>I77*1.006</f>
        <v>441.04528880000004</v>
      </c>
      <c r="K77" s="1294" t="s">
        <v>530</v>
      </c>
      <c r="L77" s="1297">
        <v>213</v>
      </c>
      <c r="M77" s="1297">
        <v>240</v>
      </c>
      <c r="N77" s="1291">
        <v>240</v>
      </c>
    </row>
    <row r="78" spans="1:14" ht="9.6" customHeight="1">
      <c r="A78" s="1171"/>
      <c r="B78" s="1160"/>
      <c r="C78" s="1085"/>
      <c r="D78" s="1086"/>
      <c r="E78" s="1086"/>
      <c r="F78" s="1199"/>
      <c r="G78" s="55" t="s">
        <v>80</v>
      </c>
      <c r="H78" s="930">
        <v>84.9</v>
      </c>
      <c r="I78" s="489">
        <f t="shared" ref="I78:J90" si="4">H78*1.006</f>
        <v>85.409400000000005</v>
      </c>
      <c r="J78" s="489">
        <f t="shared" si="4"/>
        <v>85.92185640000001</v>
      </c>
      <c r="K78" s="1295"/>
      <c r="L78" s="1288"/>
      <c r="M78" s="1288"/>
      <c r="N78" s="1292"/>
    </row>
    <row r="79" spans="1:14" ht="9.6" customHeight="1">
      <c r="A79" s="1171"/>
      <c r="B79" s="1160"/>
      <c r="C79" s="1085"/>
      <c r="D79" s="1086"/>
      <c r="E79" s="1086"/>
      <c r="F79" s="1198" t="s">
        <v>131</v>
      </c>
      <c r="G79" s="479" t="s">
        <v>79</v>
      </c>
      <c r="H79" s="521">
        <f>656.9-231.5-0.8-100.1-3.3</f>
        <v>321.2</v>
      </c>
      <c r="I79" s="489">
        <f t="shared" si="4"/>
        <v>323.12720000000002</v>
      </c>
      <c r="J79" s="489">
        <f t="shared" si="4"/>
        <v>325.0659632</v>
      </c>
      <c r="K79" s="1296" t="s">
        <v>530</v>
      </c>
      <c r="L79" s="1287">
        <v>234</v>
      </c>
      <c r="M79" s="1287">
        <v>234</v>
      </c>
      <c r="N79" s="1293">
        <v>234</v>
      </c>
    </row>
    <row r="80" spans="1:14" ht="9.6" customHeight="1">
      <c r="A80" s="1171"/>
      <c r="B80" s="1160"/>
      <c r="C80" s="1085"/>
      <c r="D80" s="1086"/>
      <c r="E80" s="1086"/>
      <c r="F80" s="1199"/>
      <c r="G80" s="55" t="s">
        <v>80</v>
      </c>
      <c r="H80" s="503">
        <v>100.1</v>
      </c>
      <c r="I80" s="489">
        <f t="shared" si="4"/>
        <v>100.70059999999999</v>
      </c>
      <c r="J80" s="489">
        <f t="shared" si="4"/>
        <v>101.3048036</v>
      </c>
      <c r="K80" s="1296"/>
      <c r="L80" s="1288"/>
      <c r="M80" s="1288"/>
      <c r="N80" s="1292"/>
    </row>
    <row r="81" spans="1:14" ht="9.6" customHeight="1">
      <c r="A81" s="1171"/>
      <c r="B81" s="1160"/>
      <c r="C81" s="1085"/>
      <c r="D81" s="1086"/>
      <c r="E81" s="1086"/>
      <c r="F81" s="1198" t="s">
        <v>117</v>
      </c>
      <c r="G81" s="479" t="s">
        <v>79</v>
      </c>
      <c r="H81" s="503">
        <f>627.8-235.2-0.9-96.4-3.3</f>
        <v>291.99999999999994</v>
      </c>
      <c r="I81" s="489">
        <f t="shared" si="4"/>
        <v>293.75199999999995</v>
      </c>
      <c r="J81" s="489">
        <f t="shared" si="4"/>
        <v>295.51451199999997</v>
      </c>
      <c r="K81" s="1296" t="s">
        <v>530</v>
      </c>
      <c r="L81" s="1287">
        <v>225</v>
      </c>
      <c r="M81" s="1287">
        <v>225</v>
      </c>
      <c r="N81" s="1293">
        <v>225</v>
      </c>
    </row>
    <row r="82" spans="1:14" ht="9.6" customHeight="1">
      <c r="A82" s="1171"/>
      <c r="B82" s="1160"/>
      <c r="C82" s="1085"/>
      <c r="D82" s="1086"/>
      <c r="E82" s="1086"/>
      <c r="F82" s="1199"/>
      <c r="G82" s="55" t="s">
        <v>80</v>
      </c>
      <c r="H82" s="503">
        <v>96.4</v>
      </c>
      <c r="I82" s="489">
        <f t="shared" si="4"/>
        <v>96.978400000000008</v>
      </c>
      <c r="J82" s="489">
        <f t="shared" si="4"/>
        <v>97.560270400000007</v>
      </c>
      <c r="K82" s="1296"/>
      <c r="L82" s="1288"/>
      <c r="M82" s="1288"/>
      <c r="N82" s="1292"/>
    </row>
    <row r="83" spans="1:14" ht="9.6" customHeight="1">
      <c r="A83" s="1171"/>
      <c r="B83" s="1160"/>
      <c r="C83" s="1085"/>
      <c r="D83" s="1086"/>
      <c r="E83" s="1086"/>
      <c r="F83" s="1198" t="s">
        <v>116</v>
      </c>
      <c r="G83" s="479" t="s">
        <v>79</v>
      </c>
      <c r="H83" s="503">
        <f>810.3-275.9-2.6-94.7-3.3</f>
        <v>433.79999999999995</v>
      </c>
      <c r="I83" s="489">
        <f t="shared" si="4"/>
        <v>436.40279999999996</v>
      </c>
      <c r="J83" s="489">
        <f t="shared" si="4"/>
        <v>439.02121679999993</v>
      </c>
      <c r="K83" s="1296" t="s">
        <v>530</v>
      </c>
      <c r="L83" s="1287">
        <v>220</v>
      </c>
      <c r="M83" s="1287">
        <v>230</v>
      </c>
      <c r="N83" s="1293">
        <v>230</v>
      </c>
    </row>
    <row r="84" spans="1:14" ht="9.6" customHeight="1">
      <c r="A84" s="1171"/>
      <c r="B84" s="1160"/>
      <c r="C84" s="1085"/>
      <c r="D84" s="1086"/>
      <c r="E84" s="1086"/>
      <c r="F84" s="1199"/>
      <c r="G84" s="55" t="s">
        <v>80</v>
      </c>
      <c r="H84" s="503">
        <v>94.7</v>
      </c>
      <c r="I84" s="489">
        <f t="shared" si="4"/>
        <v>95.268200000000007</v>
      </c>
      <c r="J84" s="489">
        <f t="shared" si="4"/>
        <v>95.839809200000005</v>
      </c>
      <c r="K84" s="1296"/>
      <c r="L84" s="1288"/>
      <c r="M84" s="1288"/>
      <c r="N84" s="1292"/>
    </row>
    <row r="85" spans="1:14" ht="9.6" customHeight="1">
      <c r="A85" s="1171"/>
      <c r="B85" s="1160"/>
      <c r="C85" s="1085"/>
      <c r="D85" s="1086"/>
      <c r="E85" s="1086"/>
      <c r="F85" s="1835" t="s">
        <v>132</v>
      </c>
      <c r="G85" s="1837" t="s">
        <v>79</v>
      </c>
      <c r="H85" s="1834">
        <f>632.7-230.9-0.9-96.7-3.3</f>
        <v>300.90000000000009</v>
      </c>
      <c r="I85" s="489">
        <f t="shared" si="4"/>
        <v>302.70540000000011</v>
      </c>
      <c r="J85" s="489">
        <f t="shared" si="4"/>
        <v>304.5216324000001</v>
      </c>
      <c r="K85" s="1296" t="s">
        <v>530</v>
      </c>
      <c r="L85" s="1287">
        <v>224</v>
      </c>
      <c r="M85" s="1287">
        <v>230</v>
      </c>
      <c r="N85" s="1293">
        <v>230</v>
      </c>
    </row>
    <row r="86" spans="1:14" ht="9.6" customHeight="1">
      <c r="A86" s="1171"/>
      <c r="B86" s="1160"/>
      <c r="C86" s="1085"/>
      <c r="D86" s="1086"/>
      <c r="E86" s="1086"/>
      <c r="F86" s="1836"/>
      <c r="G86" s="1838" t="s">
        <v>80</v>
      </c>
      <c r="H86" s="1834">
        <v>97.2</v>
      </c>
      <c r="I86" s="489">
        <f t="shared" si="4"/>
        <v>97.783200000000008</v>
      </c>
      <c r="J86" s="489">
        <f t="shared" si="4"/>
        <v>98.369899200000006</v>
      </c>
      <c r="K86" s="1296"/>
      <c r="L86" s="1288"/>
      <c r="M86" s="1288"/>
      <c r="N86" s="1292"/>
    </row>
    <row r="87" spans="1:14" ht="9.6" customHeight="1">
      <c r="A87" s="1171"/>
      <c r="B87" s="1160"/>
      <c r="C87" s="1085"/>
      <c r="D87" s="1086"/>
      <c r="E87" s="1086"/>
      <c r="F87" s="1198" t="s">
        <v>115</v>
      </c>
      <c r="G87" s="479" t="s">
        <v>79</v>
      </c>
      <c r="H87" s="503">
        <f>655-230.6-1.2-82.8-3.3</f>
        <v>337.09999999999997</v>
      </c>
      <c r="I87" s="489">
        <f t="shared" si="4"/>
        <v>339.12259999999998</v>
      </c>
      <c r="J87" s="489">
        <f t="shared" si="4"/>
        <v>341.15733559999995</v>
      </c>
      <c r="K87" s="1296" t="s">
        <v>530</v>
      </c>
      <c r="L87" s="1287">
        <v>239</v>
      </c>
      <c r="M87" s="1287">
        <v>240</v>
      </c>
      <c r="N87" s="1293">
        <v>240</v>
      </c>
    </row>
    <row r="88" spans="1:14" ht="9.6" customHeight="1">
      <c r="A88" s="1171"/>
      <c r="B88" s="1160"/>
      <c r="C88" s="1085"/>
      <c r="D88" s="1086"/>
      <c r="E88" s="1086"/>
      <c r="F88" s="1199"/>
      <c r="G88" s="55" t="s">
        <v>80</v>
      </c>
      <c r="H88" s="503">
        <v>82.8</v>
      </c>
      <c r="I88" s="489">
        <f t="shared" si="4"/>
        <v>83.296800000000005</v>
      </c>
      <c r="J88" s="489">
        <f t="shared" si="4"/>
        <v>83.796580800000001</v>
      </c>
      <c r="K88" s="1296"/>
      <c r="L88" s="1288"/>
      <c r="M88" s="1288"/>
      <c r="N88" s="1292"/>
    </row>
    <row r="89" spans="1:14" ht="9.6" customHeight="1">
      <c r="A89" s="1171"/>
      <c r="B89" s="1160"/>
      <c r="C89" s="1085"/>
      <c r="D89" s="1086"/>
      <c r="E89" s="1086"/>
      <c r="F89" s="1198" t="s">
        <v>366</v>
      </c>
      <c r="G89" s="479" t="s">
        <v>79</v>
      </c>
      <c r="H89" s="930">
        <f>177.2-22-9.1</f>
        <v>146.1</v>
      </c>
      <c r="I89" s="489">
        <f t="shared" si="4"/>
        <v>146.97659999999999</v>
      </c>
      <c r="J89" s="489">
        <f t="shared" si="4"/>
        <v>147.8584596</v>
      </c>
      <c r="K89" s="1296" t="s">
        <v>530</v>
      </c>
      <c r="L89" s="1287">
        <v>15</v>
      </c>
      <c r="M89" s="1287">
        <v>15</v>
      </c>
      <c r="N89" s="1293">
        <v>15</v>
      </c>
    </row>
    <row r="90" spans="1:14" ht="9.6" customHeight="1" thickBot="1">
      <c r="A90" s="1171"/>
      <c r="B90" s="1160"/>
      <c r="C90" s="1068"/>
      <c r="D90" s="1069"/>
      <c r="E90" s="1069"/>
      <c r="F90" s="1200"/>
      <c r="G90" s="633" t="s">
        <v>80</v>
      </c>
      <c r="H90" s="934">
        <v>9.1</v>
      </c>
      <c r="I90" s="476">
        <f t="shared" si="4"/>
        <v>9.1546000000000003</v>
      </c>
      <c r="J90" s="476">
        <f t="shared" si="4"/>
        <v>9.2095275999999995</v>
      </c>
      <c r="K90" s="1298"/>
      <c r="L90" s="1289"/>
      <c r="M90" s="1289"/>
      <c r="N90" s="1299"/>
    </row>
    <row r="91" spans="1:14" ht="15.75" customHeight="1" thickBot="1">
      <c r="A91" s="1171"/>
      <c r="B91" s="1161"/>
      <c r="C91" s="1106" t="s">
        <v>76</v>
      </c>
      <c r="D91" s="1107"/>
      <c r="E91" s="1107"/>
      <c r="F91" s="1107"/>
      <c r="G91" s="1107"/>
      <c r="H91" s="313">
        <f>SUM(H77:H90)</f>
        <v>2832.1</v>
      </c>
      <c r="I91" s="314">
        <f>SUM(I77:I90)</f>
        <v>2849.0925999999999</v>
      </c>
      <c r="J91" s="314">
        <f>SUM(J77:J90)</f>
        <v>2866.1871555999996</v>
      </c>
      <c r="K91" s="1300" t="s">
        <v>573</v>
      </c>
      <c r="L91" s="1302">
        <f>SUM(L77:L90)</f>
        <v>1370</v>
      </c>
      <c r="M91" s="1302">
        <f>SUM(M77:M90)</f>
        <v>1414</v>
      </c>
      <c r="N91" s="1304">
        <f>SUM(N77:N90)</f>
        <v>1414</v>
      </c>
    </row>
    <row r="92" spans="1:14" ht="13.5" customHeight="1" thickBot="1">
      <c r="A92" s="1172"/>
      <c r="B92" s="1126" t="s">
        <v>77</v>
      </c>
      <c r="C92" s="1162"/>
      <c r="D92" s="1162"/>
      <c r="E92" s="1162"/>
      <c r="F92" s="1162"/>
      <c r="G92" s="1162"/>
      <c r="H92" s="313">
        <f>H76+H91</f>
        <v>4334.2</v>
      </c>
      <c r="I92" s="314">
        <f>I76+I91</f>
        <v>4360.2052000000003</v>
      </c>
      <c r="J92" s="314">
        <f>J76+J91</f>
        <v>4386.3664312000001</v>
      </c>
      <c r="K92" s="1301"/>
      <c r="L92" s="1303"/>
      <c r="M92" s="1303"/>
      <c r="N92" s="1305"/>
    </row>
    <row r="93" spans="1:14" ht="21.75" thickBot="1">
      <c r="A93" s="1173" t="s">
        <v>203</v>
      </c>
      <c r="B93" s="1174"/>
      <c r="C93" s="1174"/>
      <c r="D93" s="1174"/>
      <c r="E93" s="1174"/>
      <c r="F93" s="1174"/>
      <c r="G93" s="1175"/>
      <c r="H93" s="287">
        <f>H92</f>
        <v>4334.2</v>
      </c>
      <c r="I93" s="285">
        <f>I92</f>
        <v>4360.2052000000003</v>
      </c>
      <c r="J93" s="285">
        <f>J92</f>
        <v>4386.3664312000001</v>
      </c>
      <c r="K93" s="288" t="s">
        <v>574</v>
      </c>
      <c r="L93" s="471">
        <f>L26+L76</f>
        <v>6503</v>
      </c>
      <c r="M93" s="471">
        <f>M26+M76</f>
        <v>6661</v>
      </c>
      <c r="N93" s="472">
        <f>N26+N76</f>
        <v>6756</v>
      </c>
    </row>
    <row r="94" spans="1:14" ht="23.25" customHeight="1">
      <c r="A94" s="1157" t="s">
        <v>433</v>
      </c>
      <c r="B94" s="1157" t="s">
        <v>434</v>
      </c>
      <c r="C94" s="1141" t="s">
        <v>773</v>
      </c>
      <c r="D94" s="1246"/>
      <c r="E94" s="1247"/>
      <c r="F94" s="1109" t="s">
        <v>112</v>
      </c>
      <c r="G94" s="1122" t="s">
        <v>79</v>
      </c>
      <c r="H94" s="1074">
        <v>17</v>
      </c>
      <c r="I94" s="1108">
        <f>H94*1.006</f>
        <v>17.102</v>
      </c>
      <c r="J94" s="1108">
        <f>I94*1.006</f>
        <v>17.204612000000001</v>
      </c>
      <c r="K94" s="255" t="s">
        <v>197</v>
      </c>
      <c r="L94" s="434">
        <v>26</v>
      </c>
      <c r="M94" s="434">
        <v>27</v>
      </c>
      <c r="N94" s="436">
        <v>28</v>
      </c>
    </row>
    <row r="95" spans="1:14" ht="30" customHeight="1" thickBot="1">
      <c r="A95" s="1158"/>
      <c r="B95" s="1158"/>
      <c r="C95" s="1248"/>
      <c r="D95" s="1249"/>
      <c r="E95" s="1250"/>
      <c r="F95" s="1071"/>
      <c r="G95" s="1073"/>
      <c r="H95" s="1075"/>
      <c r="I95" s="1075"/>
      <c r="J95" s="1075"/>
      <c r="K95" s="254" t="s">
        <v>575</v>
      </c>
      <c r="L95" s="278">
        <v>825</v>
      </c>
      <c r="M95" s="278">
        <v>835</v>
      </c>
      <c r="N95" s="279">
        <v>845</v>
      </c>
    </row>
    <row r="96" spans="1:14" ht="13.5" thickBot="1">
      <c r="A96" s="1158"/>
      <c r="B96" s="1158"/>
      <c r="C96" s="1100" t="s">
        <v>76</v>
      </c>
      <c r="D96" s="1101"/>
      <c r="E96" s="1101"/>
      <c r="F96" s="1101"/>
      <c r="G96" s="1102"/>
      <c r="H96" s="289">
        <f>SUM(H94:H94)</f>
        <v>17</v>
      </c>
      <c r="I96" s="290">
        <f>SUM(I94:I94)</f>
        <v>17.102</v>
      </c>
      <c r="J96" s="290">
        <f>SUM(J94:J94)</f>
        <v>17.204612000000001</v>
      </c>
      <c r="K96" s="268"/>
      <c r="L96" s="266"/>
      <c r="M96" s="266"/>
      <c r="N96" s="267"/>
    </row>
    <row r="97" spans="1:14" ht="35.25" customHeight="1">
      <c r="A97" s="1158"/>
      <c r="B97" s="1158"/>
      <c r="C97" s="1090" t="s">
        <v>774</v>
      </c>
      <c r="D97" s="1091"/>
      <c r="E97" s="1091"/>
      <c r="F97" s="1080" t="s">
        <v>112</v>
      </c>
      <c r="G97" s="1072" t="s">
        <v>79</v>
      </c>
      <c r="H97" s="1074">
        <v>4.2</v>
      </c>
      <c r="I97" s="1163">
        <f>H97*1.006</f>
        <v>4.2252000000000001</v>
      </c>
      <c r="J97" s="1163">
        <f>I97*1.006</f>
        <v>4.2505512000000003</v>
      </c>
      <c r="K97" s="522" t="s">
        <v>498</v>
      </c>
      <c r="L97" s="269">
        <v>1</v>
      </c>
      <c r="M97" s="269">
        <v>1</v>
      </c>
      <c r="N97" s="275">
        <v>1</v>
      </c>
    </row>
    <row r="98" spans="1:14" ht="28.5" customHeight="1" thickBot="1">
      <c r="A98" s="1158"/>
      <c r="B98" s="1158"/>
      <c r="C98" s="1146"/>
      <c r="D98" s="1147"/>
      <c r="E98" s="1147"/>
      <c r="F98" s="1071"/>
      <c r="G98" s="1073"/>
      <c r="H98" s="1075"/>
      <c r="I98" s="1075"/>
      <c r="J98" s="1075"/>
      <c r="K98" s="523" t="s">
        <v>576</v>
      </c>
      <c r="L98" s="278">
        <v>2</v>
      </c>
      <c r="M98" s="278">
        <v>2</v>
      </c>
      <c r="N98" s="279">
        <v>2</v>
      </c>
    </row>
    <row r="99" spans="1:14" ht="13.5" thickBot="1">
      <c r="A99" s="1158"/>
      <c r="B99" s="1158"/>
      <c r="C99" s="1106" t="s">
        <v>76</v>
      </c>
      <c r="D99" s="1166"/>
      <c r="E99" s="1166"/>
      <c r="F99" s="1166"/>
      <c r="G99" s="1167"/>
      <c r="H99" s="291">
        <f>SUM(H97)</f>
        <v>4.2</v>
      </c>
      <c r="I99" s="283">
        <f>SUM(I97)</f>
        <v>4.2252000000000001</v>
      </c>
      <c r="J99" s="283">
        <f>SUM(J97)</f>
        <v>4.2505512000000003</v>
      </c>
      <c r="K99" s="524"/>
      <c r="L99" s="67"/>
      <c r="M99" s="67"/>
      <c r="N99" s="75"/>
    </row>
    <row r="100" spans="1:14" ht="36.75" customHeight="1" thickBot="1">
      <c r="A100" s="1158"/>
      <c r="B100" s="1158"/>
      <c r="C100" s="1090" t="s">
        <v>775</v>
      </c>
      <c r="D100" s="1091"/>
      <c r="E100" s="1092"/>
      <c r="F100" s="423" t="s">
        <v>112</v>
      </c>
      <c r="G100" s="441" t="s">
        <v>79</v>
      </c>
      <c r="H100" s="525">
        <v>5.7</v>
      </c>
      <c r="I100" s="525">
        <f>H100*1.006</f>
        <v>5.7342000000000004</v>
      </c>
      <c r="J100" s="525">
        <f>I100*1.006</f>
        <v>5.7686052000000005</v>
      </c>
      <c r="K100" s="442" t="s">
        <v>198</v>
      </c>
      <c r="L100" s="526">
        <v>482</v>
      </c>
      <c r="M100" s="526">
        <v>470</v>
      </c>
      <c r="N100" s="527">
        <v>460</v>
      </c>
    </row>
    <row r="101" spans="1:14" ht="13.5" thickBot="1">
      <c r="A101" s="1158"/>
      <c r="B101" s="1158"/>
      <c r="C101" s="1100" t="s">
        <v>76</v>
      </c>
      <c r="D101" s="1101"/>
      <c r="E101" s="1101"/>
      <c r="F101" s="1101"/>
      <c r="G101" s="1240"/>
      <c r="H101" s="283">
        <f>SUM(H100)</f>
        <v>5.7</v>
      </c>
      <c r="I101" s="283">
        <f>SUM(I100)</f>
        <v>5.7342000000000004</v>
      </c>
      <c r="J101" s="283">
        <f>SUM(J100)</f>
        <v>5.7686052000000005</v>
      </c>
      <c r="K101" s="227"/>
      <c r="L101" s="62"/>
      <c r="M101" s="62"/>
      <c r="N101" s="77"/>
    </row>
    <row r="102" spans="1:14" ht="24.75" customHeight="1" thickBot="1">
      <c r="A102" s="1158"/>
      <c r="B102" s="1158"/>
      <c r="C102" s="1141" t="s">
        <v>776</v>
      </c>
      <c r="D102" s="1164"/>
      <c r="E102" s="1165"/>
      <c r="F102" s="423" t="s">
        <v>112</v>
      </c>
      <c r="G102" s="441" t="s">
        <v>79</v>
      </c>
      <c r="H102" s="939">
        <v>20</v>
      </c>
      <c r="I102" s="453">
        <f>H102*1.006</f>
        <v>20.12</v>
      </c>
      <c r="J102" s="453">
        <f>I102*1.006</f>
        <v>20.24072</v>
      </c>
      <c r="K102" s="442" t="s">
        <v>199</v>
      </c>
      <c r="L102" s="507">
        <f>SUM(10+1+8)</f>
        <v>19</v>
      </c>
      <c r="M102" s="507">
        <f>SUM(12+1+8)</f>
        <v>21</v>
      </c>
      <c r="N102" s="508">
        <f>SUM(12+1+8)</f>
        <v>21</v>
      </c>
    </row>
    <row r="103" spans="1:14" ht="13.5" thickBot="1">
      <c r="A103" s="1158"/>
      <c r="B103" s="1158"/>
      <c r="C103" s="1100" t="s">
        <v>76</v>
      </c>
      <c r="D103" s="1101"/>
      <c r="E103" s="1101"/>
      <c r="F103" s="1101"/>
      <c r="G103" s="1102"/>
      <c r="H103" s="291">
        <f>SUM(H102)</f>
        <v>20</v>
      </c>
      <c r="I103" s="283">
        <f>SUM(I102)</f>
        <v>20.12</v>
      </c>
      <c r="J103" s="283">
        <f>SUM(J102)</f>
        <v>20.24072</v>
      </c>
      <c r="K103" s="227"/>
      <c r="L103" s="62"/>
      <c r="M103" s="62"/>
      <c r="N103" s="77"/>
    </row>
    <row r="104" spans="1:14" ht="23.25" customHeight="1" thickBot="1">
      <c r="A104" s="1158"/>
      <c r="B104" s="1158"/>
      <c r="C104" s="1090" t="s">
        <v>363</v>
      </c>
      <c r="D104" s="1091"/>
      <c r="E104" s="1092"/>
      <c r="F104" s="423" t="s">
        <v>112</v>
      </c>
      <c r="G104" s="292" t="s">
        <v>79</v>
      </c>
      <c r="H104" s="939">
        <v>12</v>
      </c>
      <c r="I104" s="453">
        <f>H104*1.006</f>
        <v>12.071999999999999</v>
      </c>
      <c r="J104" s="453">
        <f>I104*1.006</f>
        <v>12.144432</v>
      </c>
      <c r="K104" s="442" t="s">
        <v>577</v>
      </c>
      <c r="L104" s="528">
        <v>370</v>
      </c>
      <c r="M104" s="528">
        <v>380</v>
      </c>
      <c r="N104" s="529">
        <v>390</v>
      </c>
    </row>
    <row r="105" spans="1:14" ht="13.5" thickBot="1">
      <c r="A105" s="1158"/>
      <c r="B105" s="1158"/>
      <c r="C105" s="1126" t="s">
        <v>76</v>
      </c>
      <c r="D105" s="1127"/>
      <c r="E105" s="1127"/>
      <c r="F105" s="1127"/>
      <c r="G105" s="1128"/>
      <c r="H105" s="293">
        <f>SUM(H104)</f>
        <v>12</v>
      </c>
      <c r="I105" s="294">
        <f>SUM(I104)</f>
        <v>12.071999999999999</v>
      </c>
      <c r="J105" s="294">
        <f>SUM(J104)</f>
        <v>12.144432</v>
      </c>
      <c r="K105" s="229"/>
      <c r="L105" s="266"/>
      <c r="M105" s="266"/>
      <c r="N105" s="267"/>
    </row>
    <row r="106" spans="1:14" ht="26.25" customHeight="1" thickBot="1">
      <c r="A106" s="1158"/>
      <c r="B106" s="1160"/>
      <c r="C106" s="1083" t="s">
        <v>422</v>
      </c>
      <c r="D106" s="1169"/>
      <c r="E106" s="1169"/>
      <c r="F106" s="295" t="s">
        <v>112</v>
      </c>
      <c r="G106" s="258" t="s">
        <v>79</v>
      </c>
      <c r="H106" s="296">
        <v>15</v>
      </c>
      <c r="I106" s="296">
        <f>H106*1.006</f>
        <v>15.09</v>
      </c>
      <c r="J106" s="296">
        <f>I106*1.006</f>
        <v>15.180540000000001</v>
      </c>
      <c r="K106" s="179" t="s">
        <v>200</v>
      </c>
      <c r="L106" s="507">
        <v>17</v>
      </c>
      <c r="M106" s="507">
        <v>18</v>
      </c>
      <c r="N106" s="508">
        <v>19</v>
      </c>
    </row>
    <row r="107" spans="1:14" ht="14.25" customHeight="1" thickBot="1">
      <c r="A107" s="1158"/>
      <c r="B107" s="1158"/>
      <c r="C107" s="1221"/>
      <c r="D107" s="1209"/>
      <c r="E107" s="1209"/>
      <c r="F107" s="199"/>
      <c r="G107" s="338" t="s">
        <v>76</v>
      </c>
      <c r="H107" s="339">
        <f>SUM(H106)</f>
        <v>15</v>
      </c>
      <c r="I107" s="340">
        <f>SUM(I106)</f>
        <v>15.09</v>
      </c>
      <c r="J107" s="340">
        <f>SUM(J106)</f>
        <v>15.180540000000001</v>
      </c>
      <c r="K107" s="95"/>
      <c r="L107" s="34"/>
      <c r="M107" s="34"/>
      <c r="N107" s="87"/>
    </row>
    <row r="108" spans="1:14" ht="46.5" customHeight="1" thickBot="1">
      <c r="A108" s="1158"/>
      <c r="B108" s="1158"/>
      <c r="C108" s="1090" t="s">
        <v>777</v>
      </c>
      <c r="D108" s="1091"/>
      <c r="E108" s="1092"/>
      <c r="F108" s="423" t="s">
        <v>112</v>
      </c>
      <c r="G108" s="530" t="s">
        <v>79</v>
      </c>
      <c r="H108" s="525">
        <v>8.6</v>
      </c>
      <c r="I108" s="453">
        <f>H108*1.006</f>
        <v>8.6516000000000002</v>
      </c>
      <c r="J108" s="453">
        <f>I108*1.006</f>
        <v>8.7035096000000003</v>
      </c>
      <c r="K108" s="442" t="s">
        <v>578</v>
      </c>
      <c r="L108" s="507">
        <v>200</v>
      </c>
      <c r="M108" s="507">
        <v>220</v>
      </c>
      <c r="N108" s="508">
        <v>220</v>
      </c>
    </row>
    <row r="109" spans="1:14" ht="12.75" customHeight="1" thickBot="1">
      <c r="A109" s="1158"/>
      <c r="B109" s="1158"/>
      <c r="C109" s="1100" t="s">
        <v>76</v>
      </c>
      <c r="D109" s="1101"/>
      <c r="E109" s="1101"/>
      <c r="F109" s="1101"/>
      <c r="G109" s="1102"/>
      <c r="H109" s="297">
        <f>SUM(H108)</f>
        <v>8.6</v>
      </c>
      <c r="I109" s="284">
        <f>SUM(I108)</f>
        <v>8.6516000000000002</v>
      </c>
      <c r="J109" s="284">
        <f>SUM(J108)</f>
        <v>8.7035096000000003</v>
      </c>
      <c r="K109" s="227"/>
      <c r="L109" s="62"/>
      <c r="M109" s="62"/>
      <c r="N109" s="77"/>
    </row>
    <row r="110" spans="1:14" ht="42" customHeight="1" thickBot="1">
      <c r="A110" s="1158"/>
      <c r="B110" s="1158"/>
      <c r="C110" s="1090" t="s">
        <v>778</v>
      </c>
      <c r="D110" s="1091"/>
      <c r="E110" s="1092"/>
      <c r="F110" s="423" t="s">
        <v>112</v>
      </c>
      <c r="G110" s="298" t="s">
        <v>79</v>
      </c>
      <c r="H110" s="939">
        <v>54.2</v>
      </c>
      <c r="I110" s="453">
        <f>H110*1.006</f>
        <v>54.525200000000005</v>
      </c>
      <c r="J110" s="453">
        <f>I110*1.006</f>
        <v>54.852351200000008</v>
      </c>
      <c r="K110" s="408" t="s">
        <v>201</v>
      </c>
      <c r="L110" s="469">
        <v>9</v>
      </c>
      <c r="M110" s="469">
        <v>9</v>
      </c>
      <c r="N110" s="470">
        <v>9</v>
      </c>
    </row>
    <row r="111" spans="1:14" ht="13.5" thickBot="1">
      <c r="A111" s="1158"/>
      <c r="B111" s="1158"/>
      <c r="C111" s="1100" t="s">
        <v>76</v>
      </c>
      <c r="D111" s="1101"/>
      <c r="E111" s="1101"/>
      <c r="F111" s="1101"/>
      <c r="G111" s="1102"/>
      <c r="H111" s="297">
        <f>SUM(H110)</f>
        <v>54.2</v>
      </c>
      <c r="I111" s="284">
        <f>SUM(I110)</f>
        <v>54.525200000000005</v>
      </c>
      <c r="J111" s="284">
        <f>SUM(J110)</f>
        <v>54.852351200000008</v>
      </c>
      <c r="K111" s="227"/>
      <c r="L111" s="62"/>
      <c r="M111" s="62"/>
      <c r="N111" s="77"/>
    </row>
    <row r="112" spans="1:14" ht="26.25" customHeight="1" thickBot="1">
      <c r="A112" s="1158"/>
      <c r="B112" s="1158"/>
      <c r="C112" s="1090" t="s">
        <v>424</v>
      </c>
      <c r="D112" s="1277"/>
      <c r="E112" s="1278"/>
      <c r="F112" s="423" t="s">
        <v>112</v>
      </c>
      <c r="G112" s="441" t="s">
        <v>98</v>
      </c>
      <c r="H112" s="531">
        <v>204.1</v>
      </c>
      <c r="I112" s="531">
        <f>H112*1.006</f>
        <v>205.3246</v>
      </c>
      <c r="J112" s="531">
        <f>I112*1.006</f>
        <v>206.55654760000002</v>
      </c>
      <c r="K112" s="408" t="s">
        <v>499</v>
      </c>
      <c r="L112" s="469">
        <v>33</v>
      </c>
      <c r="M112" s="469">
        <v>35</v>
      </c>
      <c r="N112" s="470">
        <v>37</v>
      </c>
    </row>
    <row r="113" spans="1:14" ht="13.5" thickBot="1">
      <c r="A113" s="1158"/>
      <c r="B113" s="1158"/>
      <c r="C113" s="1126" t="s">
        <v>76</v>
      </c>
      <c r="D113" s="1127"/>
      <c r="E113" s="1127"/>
      <c r="F113" s="1127"/>
      <c r="G113" s="1127"/>
      <c r="H113" s="293">
        <f>SUM(H112)</f>
        <v>204.1</v>
      </c>
      <c r="I113" s="294">
        <f>SUM(I112)</f>
        <v>205.3246</v>
      </c>
      <c r="J113" s="294">
        <f>SUM(J112)</f>
        <v>206.55654760000002</v>
      </c>
      <c r="K113" s="229"/>
      <c r="L113" s="266"/>
      <c r="M113" s="266"/>
      <c r="N113" s="267"/>
    </row>
    <row r="114" spans="1:14" ht="24" customHeight="1" thickBot="1">
      <c r="A114" s="1158"/>
      <c r="B114" s="1158"/>
      <c r="C114" s="1218" t="s">
        <v>423</v>
      </c>
      <c r="D114" s="1219"/>
      <c r="E114" s="1220"/>
      <c r="F114" s="257" t="s">
        <v>112</v>
      </c>
      <c r="G114" s="258" t="s">
        <v>79</v>
      </c>
      <c r="H114" s="532">
        <v>6</v>
      </c>
      <c r="I114" s="532">
        <f>H114*1.006</f>
        <v>6.0359999999999996</v>
      </c>
      <c r="J114" s="532">
        <f>I114*1.006</f>
        <v>6.0722160000000001</v>
      </c>
      <c r="K114" s="179" t="s">
        <v>579</v>
      </c>
      <c r="L114" s="507">
        <v>20</v>
      </c>
      <c r="M114" s="507">
        <v>20</v>
      </c>
      <c r="N114" s="508">
        <v>20</v>
      </c>
    </row>
    <row r="115" spans="1:14" ht="13.5" thickBot="1">
      <c r="A115" s="1158"/>
      <c r="B115" s="1161"/>
      <c r="C115" s="1126" t="s">
        <v>76</v>
      </c>
      <c r="D115" s="1127"/>
      <c r="E115" s="1127"/>
      <c r="F115" s="1127"/>
      <c r="G115" s="1127"/>
      <c r="H115" s="297">
        <f>SUM(H114)</f>
        <v>6</v>
      </c>
      <c r="I115" s="284">
        <f>SUM(I114)</f>
        <v>6.0359999999999996</v>
      </c>
      <c r="J115" s="284">
        <f>SUM(J114)</f>
        <v>6.0722160000000001</v>
      </c>
      <c r="K115" s="227"/>
      <c r="L115" s="62"/>
      <c r="M115" s="62"/>
      <c r="N115" s="77"/>
    </row>
    <row r="116" spans="1:14" ht="13.5" thickBot="1">
      <c r="A116" s="1158"/>
      <c r="B116" s="1100" t="s">
        <v>77</v>
      </c>
      <c r="C116" s="1127"/>
      <c r="D116" s="1127"/>
      <c r="E116" s="1127"/>
      <c r="F116" s="1127"/>
      <c r="G116" s="1128"/>
      <c r="H116" s="299">
        <f>H96+H99+H101+H103+H105+H107+H109+H111+H115+H113</f>
        <v>346.79999999999995</v>
      </c>
      <c r="I116" s="299">
        <f>I96+I99+I101+I103+I105+I107+I109+I111+I115+I113</f>
        <v>348.88080000000002</v>
      </c>
      <c r="J116" s="299">
        <f>J96+J99+J101+J103+J105+J107+J109+J111+J115+J113</f>
        <v>350.97408480000001</v>
      </c>
      <c r="K116" s="68"/>
      <c r="L116" s="154"/>
      <c r="M116" s="154"/>
      <c r="N116" s="146"/>
    </row>
    <row r="117" spans="1:14" ht="22.15" customHeight="1">
      <c r="A117" s="1158"/>
      <c r="B117" s="1159" t="s">
        <v>435</v>
      </c>
      <c r="C117" s="1076" t="s">
        <v>780</v>
      </c>
      <c r="D117" s="1093"/>
      <c r="E117" s="1093"/>
      <c r="F117" s="1080" t="s">
        <v>149</v>
      </c>
      <c r="G117" s="1072" t="s">
        <v>92</v>
      </c>
      <c r="H117" s="1168">
        <v>92.3</v>
      </c>
      <c r="I117" s="1087">
        <f>H117*1.006</f>
        <v>92.853799999999993</v>
      </c>
      <c r="J117" s="1087">
        <f>I117*1.006</f>
        <v>93.410922799999994</v>
      </c>
      <c r="K117" s="418" t="s">
        <v>580</v>
      </c>
      <c r="L117" s="533">
        <v>96</v>
      </c>
      <c r="M117" s="533">
        <v>98</v>
      </c>
      <c r="N117" s="534">
        <v>98</v>
      </c>
    </row>
    <row r="118" spans="1:14" ht="15.6" customHeight="1" thickBot="1">
      <c r="A118" s="1158"/>
      <c r="B118" s="1157"/>
      <c r="C118" s="1096"/>
      <c r="D118" s="1097"/>
      <c r="E118" s="1097"/>
      <c r="F118" s="1071"/>
      <c r="G118" s="1073"/>
      <c r="H118" s="1117"/>
      <c r="I118" s="1088"/>
      <c r="J118" s="1088"/>
      <c r="K118" s="419" t="s">
        <v>110</v>
      </c>
      <c r="L118" s="535">
        <v>59</v>
      </c>
      <c r="M118" s="535">
        <v>59</v>
      </c>
      <c r="N118" s="536">
        <v>59</v>
      </c>
    </row>
    <row r="119" spans="1:14" ht="15" customHeight="1" thickBot="1">
      <c r="A119" s="1158"/>
      <c r="B119" s="1157"/>
      <c r="C119" s="1176" t="s">
        <v>76</v>
      </c>
      <c r="D119" s="1177"/>
      <c r="E119" s="1177"/>
      <c r="F119" s="1177"/>
      <c r="G119" s="1178"/>
      <c r="H119" s="300">
        <f>SUM(H117)</f>
        <v>92.3</v>
      </c>
      <c r="I119" s="301">
        <f>SUM(I117)</f>
        <v>92.853799999999993</v>
      </c>
      <c r="J119" s="301">
        <f>SUM(J117)</f>
        <v>93.410922799999994</v>
      </c>
      <c r="K119" s="108"/>
      <c r="L119" s="276"/>
      <c r="M119" s="276"/>
      <c r="N119" s="277"/>
    </row>
    <row r="120" spans="1:14" ht="27" customHeight="1">
      <c r="A120" s="1158"/>
      <c r="B120" s="1157"/>
      <c r="C120" s="1076" t="s">
        <v>779</v>
      </c>
      <c r="D120" s="1093"/>
      <c r="E120" s="1093"/>
      <c r="F120" s="1098" t="s">
        <v>149</v>
      </c>
      <c r="G120" s="1072" t="s">
        <v>79</v>
      </c>
      <c r="H120" s="1074">
        <f>162.7-92.3</f>
        <v>70.399999999999991</v>
      </c>
      <c r="I120" s="1074">
        <f>H120*1.006</f>
        <v>70.822399999999988</v>
      </c>
      <c r="J120" s="1074">
        <f>I120*1.006</f>
        <v>71.247334399999986</v>
      </c>
      <c r="K120" s="418" t="s">
        <v>581</v>
      </c>
      <c r="L120" s="533">
        <v>672</v>
      </c>
      <c r="M120" s="533">
        <v>672</v>
      </c>
      <c r="N120" s="534">
        <v>672</v>
      </c>
    </row>
    <row r="121" spans="1:14" ht="15" customHeight="1">
      <c r="A121" s="1158"/>
      <c r="B121" s="1157"/>
      <c r="C121" s="1094"/>
      <c r="D121" s="1095"/>
      <c r="E121" s="1095"/>
      <c r="F121" s="1099"/>
      <c r="G121" s="1086"/>
      <c r="H121" s="1082"/>
      <c r="I121" s="1082"/>
      <c r="J121" s="1082"/>
      <c r="K121" s="1308" t="s">
        <v>582</v>
      </c>
      <c r="L121" s="1241">
        <v>142</v>
      </c>
      <c r="M121" s="1241">
        <v>142</v>
      </c>
      <c r="N121" s="1243">
        <v>142</v>
      </c>
    </row>
    <row r="122" spans="1:14" ht="17.25" customHeight="1">
      <c r="A122" s="1158"/>
      <c r="B122" s="1157"/>
      <c r="C122" s="1094"/>
      <c r="D122" s="1095"/>
      <c r="E122" s="1095"/>
      <c r="F122" s="1099"/>
      <c r="G122" s="1086"/>
      <c r="H122" s="1082"/>
      <c r="I122" s="1082"/>
      <c r="J122" s="1082"/>
      <c r="K122" s="1095"/>
      <c r="L122" s="1242"/>
      <c r="M122" s="1242"/>
      <c r="N122" s="1244"/>
    </row>
    <row r="123" spans="1:14" ht="33" customHeight="1" thickBot="1">
      <c r="A123" s="1158"/>
      <c r="B123" s="1157"/>
      <c r="C123" s="1096"/>
      <c r="D123" s="1097"/>
      <c r="E123" s="1097"/>
      <c r="F123" s="1071"/>
      <c r="G123" s="1069"/>
      <c r="H123" s="1075"/>
      <c r="I123" s="1075"/>
      <c r="J123" s="1075"/>
      <c r="K123" s="254" t="s">
        <v>202</v>
      </c>
      <c r="L123" s="537">
        <v>5</v>
      </c>
      <c r="M123" s="537">
        <v>5</v>
      </c>
      <c r="N123" s="538">
        <v>5</v>
      </c>
    </row>
    <row r="124" spans="1:14" ht="13.5" thickBot="1">
      <c r="A124" s="1158"/>
      <c r="B124" s="1157"/>
      <c r="C124" s="1106" t="s">
        <v>76</v>
      </c>
      <c r="D124" s="1166"/>
      <c r="E124" s="1166"/>
      <c r="F124" s="1166"/>
      <c r="G124" s="1167"/>
      <c r="H124" s="272">
        <f>SUM(H120:H121)</f>
        <v>70.399999999999991</v>
      </c>
      <c r="I124" s="273">
        <f>SUM(I120:I121)</f>
        <v>70.822399999999988</v>
      </c>
      <c r="J124" s="273">
        <f>SUM(J120:J121)</f>
        <v>71.247334399999986</v>
      </c>
      <c r="K124" s="65"/>
      <c r="L124" s="34"/>
      <c r="M124" s="34"/>
      <c r="N124" s="87"/>
    </row>
    <row r="125" spans="1:14" ht="22.15" customHeight="1">
      <c r="A125" s="1158"/>
      <c r="B125" s="1157"/>
      <c r="C125" s="1076" t="s">
        <v>781</v>
      </c>
      <c r="D125" s="1093"/>
      <c r="E125" s="1093"/>
      <c r="F125" s="1080" t="s">
        <v>149</v>
      </c>
      <c r="G125" s="1072" t="s">
        <v>79</v>
      </c>
      <c r="H125" s="1168">
        <v>0.5</v>
      </c>
      <c r="I125" s="1087">
        <f>H125*1.006</f>
        <v>0.503</v>
      </c>
      <c r="J125" s="1087">
        <f>I125*1.006</f>
        <v>0.50601799999999997</v>
      </c>
      <c r="K125" s="1309" t="s">
        <v>425</v>
      </c>
      <c r="L125" s="1306">
        <v>1</v>
      </c>
      <c r="M125" s="1306">
        <v>1</v>
      </c>
      <c r="N125" s="1306">
        <v>1</v>
      </c>
    </row>
    <row r="126" spans="1:14" ht="15.6" customHeight="1" thickBot="1">
      <c r="A126" s="1158"/>
      <c r="B126" s="1157"/>
      <c r="C126" s="1096"/>
      <c r="D126" s="1097"/>
      <c r="E126" s="1097"/>
      <c r="F126" s="1071"/>
      <c r="G126" s="1073"/>
      <c r="H126" s="1117"/>
      <c r="I126" s="1088"/>
      <c r="J126" s="1088"/>
      <c r="K126" s="1310"/>
      <c r="L126" s="1307"/>
      <c r="M126" s="1307"/>
      <c r="N126" s="1307"/>
    </row>
    <row r="127" spans="1:14" ht="15" customHeight="1" thickBot="1">
      <c r="A127" s="1158"/>
      <c r="B127" s="1179"/>
      <c r="C127" s="1176" t="s">
        <v>76</v>
      </c>
      <c r="D127" s="1177"/>
      <c r="E127" s="1177"/>
      <c r="F127" s="1177"/>
      <c r="G127" s="1178"/>
      <c r="H127" s="300">
        <f>SUM(H125)</f>
        <v>0.5</v>
      </c>
      <c r="I127" s="301">
        <f>SUM(I125)</f>
        <v>0.503</v>
      </c>
      <c r="J127" s="301">
        <f>SUM(J125)</f>
        <v>0.50601799999999997</v>
      </c>
      <c r="K127" s="108"/>
      <c r="L127" s="276"/>
      <c r="M127" s="276"/>
      <c r="N127" s="277"/>
    </row>
    <row r="128" spans="1:14" ht="13.5" thickBot="1">
      <c r="A128" s="1158"/>
      <c r="B128" s="1100" t="s">
        <v>77</v>
      </c>
      <c r="C128" s="1101"/>
      <c r="D128" s="1101"/>
      <c r="E128" s="1101"/>
      <c r="F128" s="1101"/>
      <c r="G128" s="1102"/>
      <c r="H128" s="293">
        <f>H119+H124+H127</f>
        <v>163.19999999999999</v>
      </c>
      <c r="I128" s="293">
        <f>I119+I124+I127</f>
        <v>164.17919999999998</v>
      </c>
      <c r="J128" s="293">
        <f>J119+J124+J127</f>
        <v>165.16427519999999</v>
      </c>
      <c r="K128" s="229"/>
      <c r="L128" s="266"/>
      <c r="M128" s="266"/>
      <c r="N128" s="267"/>
    </row>
    <row r="129" spans="1:16" ht="13.5" thickBot="1">
      <c r="A129" s="1173" t="s">
        <v>203</v>
      </c>
      <c r="B129" s="1245"/>
      <c r="C129" s="1245"/>
      <c r="D129" s="1245"/>
      <c r="E129" s="1245"/>
      <c r="F129" s="1245"/>
      <c r="G129" s="1245"/>
      <c r="H129" s="297">
        <f>H116+H128</f>
        <v>509.99999999999994</v>
      </c>
      <c r="I129" s="284">
        <f>I116+I128</f>
        <v>513.05999999999995</v>
      </c>
      <c r="J129" s="284">
        <f>J116+J128</f>
        <v>516.13836000000003</v>
      </c>
      <c r="K129" s="186"/>
      <c r="L129" s="67"/>
      <c r="M129" s="62"/>
      <c r="N129" s="77"/>
    </row>
    <row r="130" spans="1:16" ht="23.45" customHeight="1">
      <c r="A130" s="1159" t="s">
        <v>436</v>
      </c>
      <c r="B130" s="1159" t="s">
        <v>782</v>
      </c>
      <c r="C130" s="1090" t="s">
        <v>53</v>
      </c>
      <c r="D130" s="1277"/>
      <c r="E130" s="1278"/>
      <c r="F130" s="1201" t="s">
        <v>142</v>
      </c>
      <c r="G130" s="539" t="s">
        <v>79</v>
      </c>
      <c r="H130" s="501">
        <f>1320.6-14-130.2-47.2-42.5</f>
        <v>1086.6999999999998</v>
      </c>
      <c r="I130" s="464">
        <f>H130*1.006</f>
        <v>1093.2201999999997</v>
      </c>
      <c r="J130" s="464">
        <f>I130*1.006</f>
        <v>1099.7795211999999</v>
      </c>
      <c r="K130" s="251" t="s">
        <v>583</v>
      </c>
      <c r="L130" s="434">
        <v>250000</v>
      </c>
      <c r="M130" s="434">
        <v>250000</v>
      </c>
      <c r="N130" s="436">
        <v>250000</v>
      </c>
    </row>
    <row r="131" spans="1:16" ht="22.5">
      <c r="A131" s="1158"/>
      <c r="B131" s="1158"/>
      <c r="C131" s="1279"/>
      <c r="D131" s="1280"/>
      <c r="E131" s="1281"/>
      <c r="F131" s="1111"/>
      <c r="G131" s="1275" t="s">
        <v>80</v>
      </c>
      <c r="H131" s="1274">
        <v>42.5</v>
      </c>
      <c r="I131" s="1118">
        <f>H131*1.006</f>
        <v>42.755000000000003</v>
      </c>
      <c r="J131" s="1118">
        <f>I131*1.006</f>
        <v>43.01153</v>
      </c>
      <c r="K131" s="246" t="s">
        <v>271</v>
      </c>
      <c r="L131" s="270">
        <v>350</v>
      </c>
      <c r="M131" s="270">
        <v>350</v>
      </c>
      <c r="N131" s="271">
        <v>350</v>
      </c>
      <c r="P131" s="182"/>
    </row>
    <row r="132" spans="1:16" ht="26.25" customHeight="1" thickBot="1">
      <c r="A132" s="1158"/>
      <c r="B132" s="1158"/>
      <c r="C132" s="1282"/>
      <c r="D132" s="1283"/>
      <c r="E132" s="1284"/>
      <c r="F132" s="1150"/>
      <c r="G132" s="1276"/>
      <c r="H132" s="1088"/>
      <c r="I132" s="1088"/>
      <c r="J132" s="1088"/>
      <c r="K132" s="246" t="s">
        <v>272</v>
      </c>
      <c r="L132" s="484">
        <v>335</v>
      </c>
      <c r="M132" s="484">
        <v>335</v>
      </c>
      <c r="N132" s="485">
        <v>336</v>
      </c>
    </row>
    <row r="133" spans="1:16" ht="13.5" thickBot="1">
      <c r="A133" s="1158"/>
      <c r="B133" s="1158"/>
      <c r="C133" s="1259" t="s">
        <v>76</v>
      </c>
      <c r="D133" s="1101"/>
      <c r="E133" s="1101"/>
      <c r="F133" s="1101"/>
      <c r="G133" s="1102"/>
      <c r="H133" s="297">
        <f>SUM(H130:H132)</f>
        <v>1129.1999999999998</v>
      </c>
      <c r="I133" s="302">
        <f>SUM(I130:I132)</f>
        <v>1135.9751999999999</v>
      </c>
      <c r="J133" s="302">
        <f>SUM(J130:J132)</f>
        <v>1142.7910511999999</v>
      </c>
      <c r="K133" s="186"/>
      <c r="L133" s="67"/>
      <c r="M133" s="67"/>
      <c r="N133" s="75"/>
    </row>
    <row r="134" spans="1:16" ht="24.6" customHeight="1" thickBot="1">
      <c r="A134" s="1158"/>
      <c r="B134" s="1158"/>
      <c r="C134" s="1142" t="s">
        <v>783</v>
      </c>
      <c r="D134" s="1142"/>
      <c r="E134" s="1143"/>
      <c r="F134" s="465" t="s">
        <v>142</v>
      </c>
      <c r="G134" s="540" t="s">
        <v>79</v>
      </c>
      <c r="H134" s="521">
        <v>14</v>
      </c>
      <c r="I134" s="464">
        <f>H134*1.006</f>
        <v>14.084</v>
      </c>
      <c r="J134" s="464">
        <f>I134*1.006</f>
        <v>14.168504</v>
      </c>
      <c r="K134" s="303" t="s">
        <v>270</v>
      </c>
      <c r="L134" s="434">
        <v>15</v>
      </c>
      <c r="M134" s="434">
        <v>15</v>
      </c>
      <c r="N134" s="436">
        <v>15</v>
      </c>
    </row>
    <row r="135" spans="1:16" ht="13.5" thickBot="1">
      <c r="A135" s="1158"/>
      <c r="B135" s="1158"/>
      <c r="C135" s="1100" t="s">
        <v>76</v>
      </c>
      <c r="D135" s="1101"/>
      <c r="E135" s="1101"/>
      <c r="F135" s="1101"/>
      <c r="G135" s="1102"/>
      <c r="H135" s="293">
        <f>SUM(H134:H134)</f>
        <v>14</v>
      </c>
      <c r="I135" s="304">
        <f>SUM(I134:I134)</f>
        <v>14.084</v>
      </c>
      <c r="J135" s="304">
        <f>SUM(J134:J134)</f>
        <v>14.168504</v>
      </c>
      <c r="K135" s="200"/>
      <c r="L135" s="208"/>
      <c r="M135" s="208"/>
      <c r="N135" s="209"/>
    </row>
    <row r="136" spans="1:16" ht="13.5" thickBot="1">
      <c r="A136" s="1158"/>
      <c r="B136" s="1100" t="s">
        <v>77</v>
      </c>
      <c r="C136" s="1101"/>
      <c r="D136" s="1101"/>
      <c r="E136" s="1101"/>
      <c r="F136" s="1101"/>
      <c r="G136" s="1101"/>
      <c r="H136" s="297">
        <f>H133+H135</f>
        <v>1143.1999999999998</v>
      </c>
      <c r="I136" s="284">
        <f>I133+I135</f>
        <v>1150.0591999999999</v>
      </c>
      <c r="J136" s="284">
        <f>J133+J135</f>
        <v>1156.9595551999998</v>
      </c>
      <c r="K136" s="227"/>
      <c r="L136" s="62"/>
      <c r="M136" s="62"/>
      <c r="N136" s="77"/>
    </row>
    <row r="137" spans="1:16" ht="12" customHeight="1">
      <c r="A137" s="1158"/>
      <c r="B137" s="1159" t="s">
        <v>426</v>
      </c>
      <c r="C137" s="1210" t="s">
        <v>143</v>
      </c>
      <c r="D137" s="1131"/>
      <c r="E137" s="1132"/>
      <c r="F137" s="1110" t="s">
        <v>144</v>
      </c>
      <c r="G137" s="1112" t="s">
        <v>79</v>
      </c>
      <c r="H137" s="1272">
        <f>710.1-3.4</f>
        <v>706.7</v>
      </c>
      <c r="I137" s="1087">
        <f>H137*1.006</f>
        <v>710.9402</v>
      </c>
      <c r="J137" s="1087">
        <f>I137*1.006</f>
        <v>715.20584120000001</v>
      </c>
      <c r="K137" s="444" t="s">
        <v>585</v>
      </c>
      <c r="L137" s="269">
        <v>12400</v>
      </c>
      <c r="M137" s="269">
        <v>12500</v>
      </c>
      <c r="N137" s="275">
        <v>12500</v>
      </c>
    </row>
    <row r="138" spans="1:16" ht="12" customHeight="1">
      <c r="A138" s="1158"/>
      <c r="B138" s="1158"/>
      <c r="C138" s="1133"/>
      <c r="D138" s="1134"/>
      <c r="E138" s="1135"/>
      <c r="F138" s="1111"/>
      <c r="G138" s="1113"/>
      <c r="H138" s="1273"/>
      <c r="I138" s="1114"/>
      <c r="J138" s="1114"/>
      <c r="K138" s="263" t="s">
        <v>584</v>
      </c>
      <c r="L138" s="270">
        <v>165000</v>
      </c>
      <c r="M138" s="270">
        <v>167000</v>
      </c>
      <c r="N138" s="271">
        <v>167000</v>
      </c>
    </row>
    <row r="139" spans="1:16" ht="23.45" customHeight="1">
      <c r="A139" s="1158"/>
      <c r="B139" s="1158"/>
      <c r="C139" s="1133"/>
      <c r="D139" s="1134"/>
      <c r="E139" s="1135"/>
      <c r="F139" s="1111"/>
      <c r="G139" s="1144" t="s">
        <v>80</v>
      </c>
      <c r="H139" s="1115">
        <v>3.4</v>
      </c>
      <c r="I139" s="1118">
        <f>H139*1.006</f>
        <v>3.4203999999999999</v>
      </c>
      <c r="J139" s="1118">
        <f>I139*1.006</f>
        <v>3.4409223999999998</v>
      </c>
      <c r="K139" s="461" t="s">
        <v>319</v>
      </c>
      <c r="L139" s="484">
        <v>700</v>
      </c>
      <c r="M139" s="484">
        <v>600</v>
      </c>
      <c r="N139" s="485">
        <v>600</v>
      </c>
    </row>
    <row r="140" spans="1:16" ht="40.5" customHeight="1">
      <c r="A140" s="1158"/>
      <c r="B140" s="1158"/>
      <c r="C140" s="1133"/>
      <c r="D140" s="1134"/>
      <c r="E140" s="1135"/>
      <c r="F140" s="1111"/>
      <c r="G140" s="1145"/>
      <c r="H140" s="1116"/>
      <c r="I140" s="1119"/>
      <c r="J140" s="1119"/>
      <c r="K140" s="461" t="s">
        <v>320</v>
      </c>
      <c r="L140" s="484">
        <v>12000</v>
      </c>
      <c r="M140" s="484">
        <v>11000</v>
      </c>
      <c r="N140" s="485">
        <v>10000</v>
      </c>
    </row>
    <row r="141" spans="1:16" ht="22.5" customHeight="1" thickBot="1">
      <c r="A141" s="1158"/>
      <c r="B141" s="1158"/>
      <c r="C141" s="1133"/>
      <c r="D141" s="1134"/>
      <c r="E141" s="1135"/>
      <c r="F141" s="1111"/>
      <c r="G141" s="1271"/>
      <c r="H141" s="1117"/>
      <c r="I141" s="1088"/>
      <c r="J141" s="1088"/>
      <c r="K141" s="253" t="s">
        <v>321</v>
      </c>
      <c r="L141" s="278">
        <v>1000</v>
      </c>
      <c r="M141" s="278">
        <v>800</v>
      </c>
      <c r="N141" s="279">
        <v>800</v>
      </c>
    </row>
    <row r="142" spans="1:16" ht="14.25" customHeight="1" thickBot="1">
      <c r="A142" s="1158"/>
      <c r="B142" s="1158"/>
      <c r="C142" s="1100" t="s">
        <v>76</v>
      </c>
      <c r="D142" s="1101"/>
      <c r="E142" s="1101"/>
      <c r="F142" s="1101"/>
      <c r="G142" s="1102"/>
      <c r="H142" s="297">
        <f>SUM(H137:H141)</f>
        <v>710.1</v>
      </c>
      <c r="I142" s="302">
        <f>SUM(I137:I140)</f>
        <v>714.36059999999998</v>
      </c>
      <c r="J142" s="302">
        <f>SUM(J137:J140)</f>
        <v>718.64676359999999</v>
      </c>
      <c r="K142" s="227"/>
      <c r="L142" s="62"/>
      <c r="M142" s="62"/>
      <c r="N142" s="77"/>
    </row>
    <row r="143" spans="1:16" ht="13.5" thickBot="1">
      <c r="A143" s="1158"/>
      <c r="B143" s="1100" t="s">
        <v>77</v>
      </c>
      <c r="C143" s="1101"/>
      <c r="D143" s="1101"/>
      <c r="E143" s="1101"/>
      <c r="F143" s="1101"/>
      <c r="G143" s="1102"/>
      <c r="H143" s="297">
        <f>H142</f>
        <v>710.1</v>
      </c>
      <c r="I143" s="284">
        <f>I142</f>
        <v>714.36059999999998</v>
      </c>
      <c r="J143" s="284">
        <f>J142</f>
        <v>718.64676359999999</v>
      </c>
      <c r="K143" s="227"/>
      <c r="L143" s="62"/>
      <c r="M143" s="62"/>
      <c r="N143" s="77"/>
    </row>
    <row r="144" spans="1:16" ht="20.25" customHeight="1">
      <c r="A144" s="1158"/>
      <c r="B144" s="1157" t="s">
        <v>427</v>
      </c>
      <c r="C144" s="1210" t="s">
        <v>54</v>
      </c>
      <c r="D144" s="1263"/>
      <c r="E144" s="1264"/>
      <c r="F144" s="1201" t="s">
        <v>142</v>
      </c>
      <c r="G144" s="1120" t="s">
        <v>79</v>
      </c>
      <c r="H144" s="1123">
        <f>130.2-5.5</f>
        <v>124.69999999999999</v>
      </c>
      <c r="I144" s="1123">
        <f>H144*1.006</f>
        <v>125.44819999999999</v>
      </c>
      <c r="J144" s="1123">
        <f>I144*1.006</f>
        <v>126.20088919999999</v>
      </c>
      <c r="K144" s="541" t="s">
        <v>586</v>
      </c>
      <c r="L144" s="269">
        <v>8500</v>
      </c>
      <c r="M144" s="269">
        <v>8500</v>
      </c>
      <c r="N144" s="275">
        <v>8500</v>
      </c>
    </row>
    <row r="145" spans="1:14" ht="25.15" customHeight="1">
      <c r="A145" s="1158"/>
      <c r="B145" s="1157"/>
      <c r="C145" s="1265"/>
      <c r="D145" s="1266"/>
      <c r="E145" s="1267"/>
      <c r="F145" s="1111"/>
      <c r="G145" s="1121"/>
      <c r="H145" s="1124"/>
      <c r="I145" s="1124"/>
      <c r="J145" s="1124"/>
      <c r="K145" s="541" t="s">
        <v>323</v>
      </c>
      <c r="L145" s="434">
        <v>20</v>
      </c>
      <c r="M145" s="434">
        <v>20</v>
      </c>
      <c r="N145" s="436">
        <v>20</v>
      </c>
    </row>
    <row r="146" spans="1:14" ht="25.15" customHeight="1">
      <c r="A146" s="1158"/>
      <c r="B146" s="1157"/>
      <c r="C146" s="1265"/>
      <c r="D146" s="1266"/>
      <c r="E146" s="1267"/>
      <c r="F146" s="1111"/>
      <c r="G146" s="1122"/>
      <c r="H146" s="1125"/>
      <c r="I146" s="1125"/>
      <c r="J146" s="1125"/>
      <c r="K146" s="541" t="s">
        <v>322</v>
      </c>
      <c r="L146" s="434">
        <v>200</v>
      </c>
      <c r="M146" s="434">
        <v>200</v>
      </c>
      <c r="N146" s="436">
        <v>200</v>
      </c>
    </row>
    <row r="147" spans="1:14" ht="13.15" customHeight="1">
      <c r="A147" s="1158"/>
      <c r="B147" s="1158"/>
      <c r="C147" s="1265"/>
      <c r="D147" s="1266"/>
      <c r="E147" s="1267"/>
      <c r="F147" s="1111"/>
      <c r="G147" s="1155" t="s">
        <v>80</v>
      </c>
      <c r="H147" s="1155">
        <v>5.5</v>
      </c>
      <c r="I147" s="1155">
        <f>H147</f>
        <v>5.5</v>
      </c>
      <c r="J147" s="1155">
        <f>I147</f>
        <v>5.5</v>
      </c>
      <c r="K147" s="303" t="s">
        <v>273</v>
      </c>
      <c r="L147" s="270">
        <v>56000</v>
      </c>
      <c r="M147" s="270">
        <v>57000</v>
      </c>
      <c r="N147" s="271">
        <v>58000</v>
      </c>
    </row>
    <row r="148" spans="1:14" ht="23.45" customHeight="1" thickBot="1">
      <c r="A148" s="1158"/>
      <c r="B148" s="1158"/>
      <c r="C148" s="1268"/>
      <c r="D148" s="1269"/>
      <c r="E148" s="1270"/>
      <c r="F148" s="1150"/>
      <c r="G148" s="1156"/>
      <c r="H148" s="1156"/>
      <c r="I148" s="1156"/>
      <c r="J148" s="1156"/>
      <c r="K148" s="253" t="s">
        <v>274</v>
      </c>
      <c r="L148" s="278">
        <v>10</v>
      </c>
      <c r="M148" s="278">
        <v>10</v>
      </c>
      <c r="N148" s="279">
        <v>10</v>
      </c>
    </row>
    <row r="149" spans="1:14" ht="13.5" thickBot="1">
      <c r="A149" s="1158"/>
      <c r="B149" s="1158"/>
      <c r="C149" s="1259" t="s">
        <v>76</v>
      </c>
      <c r="D149" s="1101"/>
      <c r="E149" s="1101"/>
      <c r="F149" s="1101"/>
      <c r="G149" s="1102"/>
      <c r="H149" s="297">
        <f>SUM(H144:H148)</f>
        <v>130.19999999999999</v>
      </c>
      <c r="I149" s="297">
        <f>SUM(I144:I148)</f>
        <v>130.94819999999999</v>
      </c>
      <c r="J149" s="297">
        <f>SUM(J144:J148)</f>
        <v>131.70088920000001</v>
      </c>
      <c r="K149" s="64"/>
      <c r="L149" s="62"/>
      <c r="M149" s="62"/>
      <c r="N149" s="77"/>
    </row>
    <row r="150" spans="1:14" ht="13.5" thickBot="1">
      <c r="A150" s="1158"/>
      <c r="B150" s="1100" t="s">
        <v>77</v>
      </c>
      <c r="C150" s="1101"/>
      <c r="D150" s="1101"/>
      <c r="E150" s="1101"/>
      <c r="F150" s="1101"/>
      <c r="G150" s="1102"/>
      <c r="H150" s="297">
        <f>H149</f>
        <v>130.19999999999999</v>
      </c>
      <c r="I150" s="297">
        <f>I149</f>
        <v>130.94819999999999</v>
      </c>
      <c r="J150" s="297">
        <f>J149</f>
        <v>131.70088920000001</v>
      </c>
      <c r="K150" s="64"/>
      <c r="L150" s="62"/>
      <c r="M150" s="542"/>
      <c r="N150" s="543"/>
    </row>
    <row r="151" spans="1:14" ht="31.15" customHeight="1">
      <c r="A151" s="1158"/>
      <c r="B151" s="1159" t="s">
        <v>318</v>
      </c>
      <c r="C151" s="1210" t="s">
        <v>23</v>
      </c>
      <c r="D151" s="1131"/>
      <c r="E151" s="1132"/>
      <c r="F151" s="1110" t="s">
        <v>142</v>
      </c>
      <c r="G151" s="426" t="s">
        <v>79</v>
      </c>
      <c r="H151" s="544">
        <f>47.2-2.1</f>
        <v>45.1</v>
      </c>
      <c r="I151" s="457">
        <f>H151*1.006</f>
        <v>45.370600000000003</v>
      </c>
      <c r="J151" s="457">
        <f>I151*1.006</f>
        <v>45.642823600000007</v>
      </c>
      <c r="K151" s="541" t="s">
        <v>587</v>
      </c>
      <c r="L151" s="434">
        <v>2000</v>
      </c>
      <c r="M151" s="434">
        <v>2000</v>
      </c>
      <c r="N151" s="436">
        <v>2000</v>
      </c>
    </row>
    <row r="152" spans="1:14" ht="31.15" customHeight="1" thickBot="1">
      <c r="A152" s="1158"/>
      <c r="B152" s="1158"/>
      <c r="C152" s="1136"/>
      <c r="D152" s="1137"/>
      <c r="E152" s="1138"/>
      <c r="F152" s="1150"/>
      <c r="G152" s="462" t="s">
        <v>80</v>
      </c>
      <c r="H152" s="545">
        <v>2.1</v>
      </c>
      <c r="I152" s="462">
        <f>H152</f>
        <v>2.1</v>
      </c>
      <c r="J152" s="462">
        <f>I152</f>
        <v>2.1</v>
      </c>
      <c r="K152" s="541" t="s">
        <v>275</v>
      </c>
      <c r="L152" s="484">
        <v>20</v>
      </c>
      <c r="M152" s="484">
        <v>20</v>
      </c>
      <c r="N152" s="485">
        <v>20</v>
      </c>
    </row>
    <row r="153" spans="1:14" ht="13.5" thickBot="1">
      <c r="A153" s="1158"/>
      <c r="B153" s="1161"/>
      <c r="C153" s="1100" t="s">
        <v>76</v>
      </c>
      <c r="D153" s="1101"/>
      <c r="E153" s="1101"/>
      <c r="F153" s="1101"/>
      <c r="G153" s="1102"/>
      <c r="H153" s="297">
        <f>SUM(H151:H152)</f>
        <v>47.2</v>
      </c>
      <c r="I153" s="302">
        <f>SUM(I151:I152)</f>
        <v>47.470600000000005</v>
      </c>
      <c r="J153" s="302">
        <f>SUM(J151:J152)</f>
        <v>47.742823600000008</v>
      </c>
      <c r="K153" s="227"/>
      <c r="L153" s="62"/>
      <c r="M153" s="62"/>
      <c r="N153" s="77"/>
    </row>
    <row r="154" spans="1:14" ht="13.5" thickBot="1">
      <c r="A154" s="1158"/>
      <c r="B154" s="1100" t="s">
        <v>77</v>
      </c>
      <c r="C154" s="1101"/>
      <c r="D154" s="1101"/>
      <c r="E154" s="1101"/>
      <c r="F154" s="1101"/>
      <c r="G154" s="1102"/>
      <c r="H154" s="297">
        <f>H153</f>
        <v>47.2</v>
      </c>
      <c r="I154" s="284">
        <f>I153</f>
        <v>47.470600000000005</v>
      </c>
      <c r="J154" s="284">
        <f>J153</f>
        <v>47.742823600000008</v>
      </c>
      <c r="K154" s="227"/>
      <c r="L154" s="62"/>
      <c r="M154" s="62"/>
      <c r="N154" s="77"/>
    </row>
    <row r="155" spans="1:14" ht="14.25" customHeight="1">
      <c r="A155" s="1158"/>
      <c r="B155" s="1159" t="s">
        <v>437</v>
      </c>
      <c r="C155" s="1090" t="s">
        <v>784</v>
      </c>
      <c r="D155" s="1131"/>
      <c r="E155" s="1132"/>
      <c r="F155" s="1260" t="s">
        <v>428</v>
      </c>
      <c r="G155" s="305" t="s">
        <v>79</v>
      </c>
      <c r="H155" s="928">
        <f>1021.7-47.7-36.4-71.2</f>
        <v>866.4</v>
      </c>
      <c r="I155" s="448">
        <f t="shared" ref="I155:J157" si="5">H155*1.006</f>
        <v>871.59839999999997</v>
      </c>
      <c r="J155" s="448">
        <f t="shared" si="5"/>
        <v>876.82799039999998</v>
      </c>
      <c r="K155" s="306" t="s">
        <v>588</v>
      </c>
      <c r="L155" s="269">
        <v>562</v>
      </c>
      <c r="M155" s="269">
        <v>570</v>
      </c>
      <c r="N155" s="275">
        <v>580</v>
      </c>
    </row>
    <row r="156" spans="1:14" ht="36" customHeight="1">
      <c r="A156" s="1158"/>
      <c r="B156" s="1158"/>
      <c r="C156" s="1133"/>
      <c r="D156" s="1134"/>
      <c r="E156" s="1135"/>
      <c r="F156" s="1261"/>
      <c r="G156" s="307" t="s">
        <v>92</v>
      </c>
      <c r="H156" s="930">
        <f>47.7+36.4</f>
        <v>84.1</v>
      </c>
      <c r="I156" s="489">
        <f t="shared" si="5"/>
        <v>84.604599999999991</v>
      </c>
      <c r="J156" s="489">
        <f t="shared" si="5"/>
        <v>85.112227599999997</v>
      </c>
      <c r="K156" s="253" t="s">
        <v>276</v>
      </c>
      <c r="L156" s="270">
        <v>120</v>
      </c>
      <c r="M156" s="270">
        <v>128</v>
      </c>
      <c r="N156" s="271">
        <v>130</v>
      </c>
    </row>
    <row r="157" spans="1:14" ht="29.25" customHeight="1" thickBot="1">
      <c r="A157" s="1158"/>
      <c r="B157" s="1158"/>
      <c r="C157" s="1136"/>
      <c r="D157" s="1137"/>
      <c r="E157" s="1138"/>
      <c r="F157" s="1261"/>
      <c r="G157" s="520" t="s">
        <v>80</v>
      </c>
      <c r="H157" s="932">
        <v>71.2</v>
      </c>
      <c r="I157" s="452">
        <f t="shared" si="5"/>
        <v>71.627200000000002</v>
      </c>
      <c r="J157" s="452">
        <f t="shared" si="5"/>
        <v>72.056963199999998</v>
      </c>
      <c r="K157" s="253" t="s">
        <v>277</v>
      </c>
      <c r="L157" s="270">
        <v>2</v>
      </c>
      <c r="M157" s="270">
        <v>3</v>
      </c>
      <c r="N157" s="271">
        <v>3</v>
      </c>
    </row>
    <row r="158" spans="1:14" ht="13.5" thickBot="1">
      <c r="A158" s="1158"/>
      <c r="B158" s="1158"/>
      <c r="C158" s="1126" t="s">
        <v>76</v>
      </c>
      <c r="D158" s="1129"/>
      <c r="E158" s="1129"/>
      <c r="F158" s="1129"/>
      <c r="G158" s="1130"/>
      <c r="H158" s="184">
        <f>SUM(H155:H157)</f>
        <v>1021.7</v>
      </c>
      <c r="I158" s="183">
        <f>SUM(I155:I157)</f>
        <v>1027.8301999999999</v>
      </c>
      <c r="J158" s="183">
        <f>SUM(J155:J157)</f>
        <v>1033.9971811999999</v>
      </c>
      <c r="K158" s="268"/>
      <c r="L158" s="266"/>
      <c r="M158" s="266"/>
      <c r="N158" s="267"/>
    </row>
    <row r="159" spans="1:14" ht="13.5" thickBot="1">
      <c r="A159" s="1158"/>
      <c r="B159" s="1100" t="s">
        <v>77</v>
      </c>
      <c r="C159" s="1255"/>
      <c r="D159" s="1255"/>
      <c r="E159" s="1255"/>
      <c r="F159" s="1255"/>
      <c r="G159" s="1256"/>
      <c r="H159" s="297">
        <f>H158</f>
        <v>1021.7</v>
      </c>
      <c r="I159" s="297">
        <f>I158</f>
        <v>1027.8301999999999</v>
      </c>
      <c r="J159" s="291">
        <f>J158</f>
        <v>1033.9971811999999</v>
      </c>
      <c r="K159" s="413"/>
      <c r="L159" s="62"/>
      <c r="M159" s="62"/>
      <c r="N159" s="77"/>
    </row>
    <row r="160" spans="1:14" ht="13.5" thickBot="1">
      <c r="A160" s="1173" t="s">
        <v>203</v>
      </c>
      <c r="B160" s="1174"/>
      <c r="C160" s="1174"/>
      <c r="D160" s="1174"/>
      <c r="E160" s="1174"/>
      <c r="F160" s="1174"/>
      <c r="G160" s="1175"/>
      <c r="H160" s="297">
        <f>H136+H143+H150+H154+H159</f>
        <v>3052.3999999999996</v>
      </c>
      <c r="I160" s="302">
        <f>I136+I143+I150+I154+I159</f>
        <v>3070.6687999999999</v>
      </c>
      <c r="J160" s="302">
        <f>J136+J143+J150+J154+J159</f>
        <v>3089.0472127999997</v>
      </c>
      <c r="K160" s="227"/>
      <c r="L160" s="62"/>
      <c r="M160" s="62"/>
      <c r="N160" s="77"/>
    </row>
    <row r="161" spans="1:14" ht="29.45" customHeight="1">
      <c r="A161" s="1159" t="s">
        <v>438</v>
      </c>
      <c r="B161" s="1159" t="s">
        <v>439</v>
      </c>
      <c r="C161" s="1090" t="s">
        <v>429</v>
      </c>
      <c r="D161" s="1139"/>
      <c r="E161" s="1140"/>
      <c r="F161" s="1149" t="s">
        <v>118</v>
      </c>
      <c r="G161" s="305" t="s">
        <v>79</v>
      </c>
      <c r="H161" s="546">
        <f>1598.8-632-41.7-12.7-167</f>
        <v>745.39999999999986</v>
      </c>
      <c r="I161" s="448">
        <f t="shared" ref="I161:J163" si="6">H161*1.006</f>
        <v>749.87239999999986</v>
      </c>
      <c r="J161" s="448">
        <f t="shared" si="6"/>
        <v>754.37163439999983</v>
      </c>
      <c r="K161" s="444" t="s">
        <v>382</v>
      </c>
      <c r="L161" s="269">
        <v>7</v>
      </c>
      <c r="M161" s="269">
        <v>8</v>
      </c>
      <c r="N161" s="275">
        <v>8</v>
      </c>
    </row>
    <row r="162" spans="1:14" ht="29.45" customHeight="1">
      <c r="A162" s="1158"/>
      <c r="B162" s="1158"/>
      <c r="C162" s="1141"/>
      <c r="D162" s="1142"/>
      <c r="E162" s="1143"/>
      <c r="F162" s="1153"/>
      <c r="G162" s="547" t="s">
        <v>92</v>
      </c>
      <c r="H162" s="548">
        <f>41.7+12.7</f>
        <v>54.400000000000006</v>
      </c>
      <c r="I162" s="453">
        <f t="shared" si="6"/>
        <v>54.726400000000005</v>
      </c>
      <c r="J162" s="453">
        <f t="shared" si="6"/>
        <v>55.054758400000004</v>
      </c>
      <c r="K162" s="253" t="s">
        <v>589</v>
      </c>
      <c r="L162" s="270">
        <v>500</v>
      </c>
      <c r="M162" s="270">
        <v>530</v>
      </c>
      <c r="N162" s="271">
        <v>530</v>
      </c>
    </row>
    <row r="163" spans="1:14" ht="24.6" customHeight="1">
      <c r="A163" s="1158"/>
      <c r="B163" s="1158"/>
      <c r="C163" s="1133"/>
      <c r="D163" s="1134"/>
      <c r="E163" s="1135"/>
      <c r="F163" s="1153"/>
      <c r="G163" s="1144" t="s">
        <v>80</v>
      </c>
      <c r="H163" s="1089">
        <v>167</v>
      </c>
      <c r="I163" s="1089">
        <f t="shared" si="6"/>
        <v>168.00200000000001</v>
      </c>
      <c r="J163" s="1089">
        <f t="shared" si="6"/>
        <v>169.01001200000002</v>
      </c>
      <c r="K163" s="263" t="s">
        <v>383</v>
      </c>
      <c r="L163" s="270">
        <v>350</v>
      </c>
      <c r="M163" s="270">
        <v>340</v>
      </c>
      <c r="N163" s="271">
        <v>340</v>
      </c>
    </row>
    <row r="164" spans="1:14" ht="24.6" customHeight="1">
      <c r="A164" s="1158"/>
      <c r="B164" s="1158"/>
      <c r="C164" s="1133"/>
      <c r="D164" s="1134"/>
      <c r="E164" s="1135"/>
      <c r="F164" s="1153"/>
      <c r="G164" s="1145"/>
      <c r="H164" s="1082"/>
      <c r="I164" s="1082"/>
      <c r="J164" s="1082"/>
      <c r="K164" s="253" t="s">
        <v>590</v>
      </c>
      <c r="L164" s="270">
        <v>2600</v>
      </c>
      <c r="M164" s="270">
        <v>2600</v>
      </c>
      <c r="N164" s="271">
        <v>2700</v>
      </c>
    </row>
    <row r="165" spans="1:14" ht="13.5" thickBot="1">
      <c r="A165" s="1158"/>
      <c r="B165" s="1158"/>
      <c r="C165" s="1136"/>
      <c r="D165" s="1137"/>
      <c r="E165" s="1138"/>
      <c r="F165" s="1154"/>
      <c r="G165" s="1073"/>
      <c r="H165" s="1075"/>
      <c r="I165" s="1075"/>
      <c r="J165" s="1075"/>
      <c r="K165" s="254" t="s">
        <v>384</v>
      </c>
      <c r="L165" s="278">
        <v>14</v>
      </c>
      <c r="M165" s="278">
        <v>14</v>
      </c>
      <c r="N165" s="279">
        <v>14</v>
      </c>
    </row>
    <row r="166" spans="1:14" ht="13.5" thickBot="1">
      <c r="A166" s="1158"/>
      <c r="B166" s="1161"/>
      <c r="C166" s="1100" t="s">
        <v>76</v>
      </c>
      <c r="D166" s="1101"/>
      <c r="E166" s="1101"/>
      <c r="F166" s="1101"/>
      <c r="G166" s="1102"/>
      <c r="H166" s="297">
        <f>SUM(H161:H163)</f>
        <v>966.79999999999984</v>
      </c>
      <c r="I166" s="284">
        <f>SUM(I161:I163)</f>
        <v>972.60079999999994</v>
      </c>
      <c r="J166" s="284">
        <f>SUM(J161:J163)</f>
        <v>978.43640479999976</v>
      </c>
      <c r="K166" s="64"/>
      <c r="L166" s="62"/>
      <c r="M166" s="62"/>
      <c r="N166" s="77"/>
    </row>
    <row r="167" spans="1:14" ht="13.5" thickBot="1">
      <c r="A167" s="1158"/>
      <c r="B167" s="1100" t="s">
        <v>77</v>
      </c>
      <c r="C167" s="1127"/>
      <c r="D167" s="1127"/>
      <c r="E167" s="1127"/>
      <c r="F167" s="1127"/>
      <c r="G167" s="1128"/>
      <c r="H167" s="293">
        <f>H166</f>
        <v>966.79999999999984</v>
      </c>
      <c r="I167" s="294">
        <f>I166</f>
        <v>972.60079999999994</v>
      </c>
      <c r="J167" s="294">
        <f>J166</f>
        <v>978.43640479999976</v>
      </c>
      <c r="K167" s="268"/>
      <c r="L167" s="266"/>
      <c r="M167" s="266"/>
      <c r="N167" s="267"/>
    </row>
    <row r="168" spans="1:14" ht="22.5">
      <c r="A168" s="1158"/>
      <c r="B168" s="1254" t="s">
        <v>440</v>
      </c>
      <c r="C168" s="1076" t="s">
        <v>785</v>
      </c>
      <c r="D168" s="1152"/>
      <c r="E168" s="1152"/>
      <c r="F168" s="1070" t="s">
        <v>118</v>
      </c>
      <c r="G168" s="1072" t="s">
        <v>79</v>
      </c>
      <c r="H168" s="1074">
        <f>632-300-35</f>
        <v>297</v>
      </c>
      <c r="I168" s="1074">
        <f>H168*1.006</f>
        <v>298.78199999999998</v>
      </c>
      <c r="J168" s="1074">
        <f>I168*1.006</f>
        <v>300.57469199999997</v>
      </c>
      <c r="K168" s="250" t="s">
        <v>591</v>
      </c>
      <c r="L168" s="269">
        <v>1200</v>
      </c>
      <c r="M168" s="269">
        <v>1150</v>
      </c>
      <c r="N168" s="275">
        <v>1150</v>
      </c>
    </row>
    <row r="169" spans="1:14" ht="24.75" customHeight="1">
      <c r="A169" s="1158"/>
      <c r="B169" s="1254"/>
      <c r="C169" s="1094"/>
      <c r="D169" s="1095"/>
      <c r="E169" s="1095"/>
      <c r="F169" s="1099"/>
      <c r="G169" s="1145"/>
      <c r="H169" s="1082"/>
      <c r="I169" s="1082"/>
      <c r="J169" s="1082"/>
      <c r="K169" s="253" t="s">
        <v>592</v>
      </c>
      <c r="L169" s="270">
        <v>25</v>
      </c>
      <c r="M169" s="270">
        <v>24</v>
      </c>
      <c r="N169" s="271">
        <v>24</v>
      </c>
    </row>
    <row r="170" spans="1:14" ht="24.75" customHeight="1" thickBot="1">
      <c r="A170" s="1158"/>
      <c r="B170" s="1254"/>
      <c r="C170" s="1096"/>
      <c r="D170" s="1097"/>
      <c r="E170" s="1097"/>
      <c r="F170" s="1071"/>
      <c r="G170" s="1073"/>
      <c r="H170" s="1075"/>
      <c r="I170" s="1075"/>
      <c r="J170" s="1075"/>
      <c r="K170" s="254" t="s">
        <v>385</v>
      </c>
      <c r="L170" s="278">
        <v>9</v>
      </c>
      <c r="M170" s="278">
        <v>9</v>
      </c>
      <c r="N170" s="279">
        <v>9</v>
      </c>
    </row>
    <row r="171" spans="1:14" ht="13.5" thickBot="1">
      <c r="A171" s="1158"/>
      <c r="B171" s="1158"/>
      <c r="C171" s="1106" t="s">
        <v>76</v>
      </c>
      <c r="D171" s="1166"/>
      <c r="E171" s="1166"/>
      <c r="F171" s="1166"/>
      <c r="G171" s="1167"/>
      <c r="H171" s="272">
        <f>SUM(H168)</f>
        <v>297</v>
      </c>
      <c r="I171" s="273">
        <f>SUM(I168)</f>
        <v>298.78199999999998</v>
      </c>
      <c r="J171" s="273">
        <f>SUM(J168)</f>
        <v>300.57469199999997</v>
      </c>
      <c r="K171" s="65"/>
      <c r="L171" s="34"/>
      <c r="M171" s="34"/>
      <c r="N171" s="87"/>
    </row>
    <row r="172" spans="1:14" ht="26.25" customHeight="1">
      <c r="A172" s="1158"/>
      <c r="B172" s="1158"/>
      <c r="C172" s="1090" t="s">
        <v>786</v>
      </c>
      <c r="D172" s="1091"/>
      <c r="E172" s="1092"/>
      <c r="F172" s="1149" t="s">
        <v>118</v>
      </c>
      <c r="G172" s="1120" t="s">
        <v>79</v>
      </c>
      <c r="H172" s="1087">
        <v>35</v>
      </c>
      <c r="I172" s="1087">
        <f>H172*1.006</f>
        <v>35.21</v>
      </c>
      <c r="J172" s="1087">
        <f>I172*1.006</f>
        <v>35.421260000000004</v>
      </c>
      <c r="K172" s="549" t="s">
        <v>593</v>
      </c>
      <c r="L172" s="269">
        <v>20</v>
      </c>
      <c r="M172" s="269">
        <v>22</v>
      </c>
      <c r="N172" s="275">
        <v>22</v>
      </c>
    </row>
    <row r="173" spans="1:14" ht="27" customHeight="1" thickBot="1">
      <c r="A173" s="1158"/>
      <c r="B173" s="1158"/>
      <c r="C173" s="1146"/>
      <c r="D173" s="1147"/>
      <c r="E173" s="1148"/>
      <c r="F173" s="1150"/>
      <c r="G173" s="1151"/>
      <c r="H173" s="1088"/>
      <c r="I173" s="1088"/>
      <c r="J173" s="1088"/>
      <c r="K173" s="550" t="s">
        <v>594</v>
      </c>
      <c r="L173" s="278">
        <v>18</v>
      </c>
      <c r="M173" s="278">
        <v>20</v>
      </c>
      <c r="N173" s="279">
        <v>20</v>
      </c>
    </row>
    <row r="174" spans="1:14">
      <c r="A174" s="1158"/>
      <c r="B174" s="1158"/>
      <c r="C174" s="1126" t="s">
        <v>76</v>
      </c>
      <c r="D174" s="1127"/>
      <c r="E174" s="1127"/>
      <c r="F174" s="1127"/>
      <c r="G174" s="1128"/>
      <c r="H174" s="293">
        <f>SUM(H172)</f>
        <v>35</v>
      </c>
      <c r="I174" s="294">
        <f>SUM(I172)</f>
        <v>35.21</v>
      </c>
      <c r="J174" s="294">
        <f>SUM(J172)</f>
        <v>35.421260000000004</v>
      </c>
      <c r="K174" s="229"/>
      <c r="L174" s="266"/>
      <c r="M174" s="266"/>
      <c r="N174" s="267"/>
    </row>
    <row r="175" spans="1:14" ht="25.5" customHeight="1">
      <c r="A175" s="1158"/>
      <c r="B175" s="1160"/>
      <c r="C175" s="1066" t="s">
        <v>787</v>
      </c>
      <c r="D175" s="1067"/>
      <c r="E175" s="1067"/>
      <c r="F175" s="1070" t="s">
        <v>118</v>
      </c>
      <c r="G175" s="1072" t="s">
        <v>79</v>
      </c>
      <c r="H175" s="1074">
        <v>300</v>
      </c>
      <c r="I175" s="1074">
        <f>H175*1.006</f>
        <v>301.8</v>
      </c>
      <c r="J175" s="1074">
        <f>I175*1.006</f>
        <v>303.61080000000004</v>
      </c>
      <c r="K175" s="308" t="s">
        <v>595</v>
      </c>
      <c r="L175" s="269">
        <v>37</v>
      </c>
      <c r="M175" s="269">
        <v>38</v>
      </c>
      <c r="N175" s="275">
        <v>40</v>
      </c>
    </row>
    <row r="176" spans="1:14" ht="25.5" customHeight="1" thickBot="1">
      <c r="A176" s="1158"/>
      <c r="B176" s="1160"/>
      <c r="C176" s="1068"/>
      <c r="D176" s="1069"/>
      <c r="E176" s="1069"/>
      <c r="F176" s="1071"/>
      <c r="G176" s="1073"/>
      <c r="H176" s="1075"/>
      <c r="I176" s="1075"/>
      <c r="J176" s="1075"/>
      <c r="K176" s="551" t="s">
        <v>386</v>
      </c>
      <c r="L176" s="278">
        <v>1</v>
      </c>
      <c r="M176" s="278">
        <v>1</v>
      </c>
      <c r="N176" s="279">
        <v>1</v>
      </c>
    </row>
    <row r="177" spans="1:14" ht="13.5" thickBot="1">
      <c r="A177" s="1158"/>
      <c r="B177" s="1161"/>
      <c r="C177" s="1262" t="s">
        <v>76</v>
      </c>
      <c r="D177" s="1177"/>
      <c r="E177" s="1177"/>
      <c r="F177" s="1177"/>
      <c r="G177" s="1178"/>
      <c r="H177" s="272">
        <f>SUM(H175)</f>
        <v>300</v>
      </c>
      <c r="I177" s="273">
        <f>SUM(I175)</f>
        <v>301.8</v>
      </c>
      <c r="J177" s="309">
        <f>SUM(J175)</f>
        <v>303.61080000000004</v>
      </c>
      <c r="K177" s="160"/>
      <c r="L177" s="34"/>
      <c r="M177" s="34"/>
      <c r="N177" s="87"/>
    </row>
    <row r="178" spans="1:14" ht="13.5" thickBot="1">
      <c r="A178" s="1158"/>
      <c r="B178" s="1100" t="s">
        <v>77</v>
      </c>
      <c r="C178" s="1127"/>
      <c r="D178" s="1127"/>
      <c r="E178" s="1127"/>
      <c r="F178" s="1127"/>
      <c r="G178" s="1128"/>
      <c r="H178" s="293">
        <f>H171+H174+H177</f>
        <v>632</v>
      </c>
      <c r="I178" s="294">
        <f>I171+I174+I177</f>
        <v>635.79199999999992</v>
      </c>
      <c r="J178" s="301">
        <f>J171+J174+J177</f>
        <v>639.60675200000003</v>
      </c>
      <c r="K178" s="229"/>
      <c r="L178" s="266"/>
      <c r="M178" s="266"/>
      <c r="N178" s="267"/>
    </row>
    <row r="179" spans="1:14" ht="25.5" customHeight="1">
      <c r="A179" s="1158"/>
      <c r="B179" s="1257" t="s">
        <v>441</v>
      </c>
      <c r="C179" s="1076" t="s">
        <v>430</v>
      </c>
      <c r="D179" s="1077"/>
      <c r="E179" s="1077"/>
      <c r="F179" s="1080" t="s">
        <v>112</v>
      </c>
      <c r="G179" s="1081" t="s">
        <v>79</v>
      </c>
      <c r="H179" s="1074">
        <v>50.7</v>
      </c>
      <c r="I179" s="1074">
        <f>H179*1.006</f>
        <v>51.004200000000004</v>
      </c>
      <c r="J179" s="1074">
        <f>I179*1.006</f>
        <v>51.310225200000005</v>
      </c>
      <c r="K179" s="443" t="s">
        <v>387</v>
      </c>
      <c r="L179" s="269">
        <v>8</v>
      </c>
      <c r="M179" s="269">
        <v>9</v>
      </c>
      <c r="N179" s="275">
        <v>9</v>
      </c>
    </row>
    <row r="180" spans="1:14" ht="25.5" customHeight="1" thickBot="1">
      <c r="A180" s="1158"/>
      <c r="B180" s="1254"/>
      <c r="C180" s="1078"/>
      <c r="D180" s="1079"/>
      <c r="E180" s="1079"/>
      <c r="F180" s="1071"/>
      <c r="G180" s="1073"/>
      <c r="H180" s="1075"/>
      <c r="I180" s="1075"/>
      <c r="J180" s="1075"/>
      <c r="K180" s="256" t="s">
        <v>388</v>
      </c>
      <c r="L180" s="278">
        <v>8</v>
      </c>
      <c r="M180" s="278">
        <v>8</v>
      </c>
      <c r="N180" s="279">
        <v>8</v>
      </c>
    </row>
    <row r="181" spans="1:14" ht="13.5" thickBot="1">
      <c r="A181" s="1158"/>
      <c r="B181" s="1158"/>
      <c r="C181" s="1176" t="s">
        <v>76</v>
      </c>
      <c r="D181" s="1177"/>
      <c r="E181" s="1177"/>
      <c r="F181" s="1177"/>
      <c r="G181" s="1178"/>
      <c r="H181" s="272">
        <f>H179</f>
        <v>50.7</v>
      </c>
      <c r="I181" s="273">
        <f>I179</f>
        <v>51.004200000000004</v>
      </c>
      <c r="J181" s="273">
        <f>J179</f>
        <v>51.310225200000005</v>
      </c>
      <c r="K181" s="95"/>
      <c r="L181" s="34"/>
      <c r="M181" s="34"/>
      <c r="N181" s="87"/>
    </row>
    <row r="182" spans="1:14" ht="13.5" thickBot="1">
      <c r="A182" s="1161"/>
      <c r="B182" s="1100" t="s">
        <v>77</v>
      </c>
      <c r="C182" s="1101"/>
      <c r="D182" s="1101"/>
      <c r="E182" s="1101"/>
      <c r="F182" s="1101"/>
      <c r="G182" s="1102"/>
      <c r="H182" s="297">
        <f>H181</f>
        <v>50.7</v>
      </c>
      <c r="I182" s="284">
        <f>I181</f>
        <v>51.004200000000004</v>
      </c>
      <c r="J182" s="284">
        <f>J181</f>
        <v>51.310225200000005</v>
      </c>
      <c r="K182" s="227"/>
      <c r="L182" s="62"/>
      <c r="M182" s="62"/>
      <c r="N182" s="77"/>
    </row>
    <row r="183" spans="1:14" ht="13.5" thickBot="1">
      <c r="A183" s="1258" t="s">
        <v>7</v>
      </c>
      <c r="B183" s="1252"/>
      <c r="C183" s="1252"/>
      <c r="D183" s="1252"/>
      <c r="E183" s="1252"/>
      <c r="F183" s="1252"/>
      <c r="G183" s="1253"/>
      <c r="H183" s="69">
        <f>H167+H178+H182</f>
        <v>1649.4999999999998</v>
      </c>
      <c r="I183" s="312">
        <f>I167+I178+I182</f>
        <v>1659.3969999999999</v>
      </c>
      <c r="J183" s="312">
        <f>J167+J178+J182</f>
        <v>1669.353382</v>
      </c>
      <c r="K183" s="227"/>
      <c r="L183" s="62"/>
      <c r="M183" s="62"/>
      <c r="N183" s="77"/>
    </row>
    <row r="184" spans="1:14" s="4" customFormat="1" ht="13.5" thickBot="1">
      <c r="A184" s="1251" t="s">
        <v>204</v>
      </c>
      <c r="B184" s="1252"/>
      <c r="C184" s="1252"/>
      <c r="D184" s="1252"/>
      <c r="E184" s="1252"/>
      <c r="F184" s="1252"/>
      <c r="G184" s="1253"/>
      <c r="H184" s="310">
        <f>H183+H160+H129+H93+H68</f>
        <v>22752.1</v>
      </c>
      <c r="I184" s="311">
        <f>I183+I160+I129+I93+I68</f>
        <v>22888.537</v>
      </c>
      <c r="J184" s="311">
        <f>J183+J160+J129+J93+J68</f>
        <v>23025.792621999997</v>
      </c>
      <c r="K184" s="25"/>
      <c r="L184" s="552"/>
      <c r="M184" s="552"/>
      <c r="N184" s="553"/>
    </row>
    <row r="185" spans="1:14" s="4" customFormat="1" ht="10.5" customHeight="1">
      <c r="A185" s="30"/>
      <c r="B185" s="38"/>
      <c r="C185" s="38"/>
      <c r="D185" s="400"/>
      <c r="E185" s="13"/>
      <c r="F185" s="13" t="s">
        <v>4</v>
      </c>
      <c r="G185" s="13"/>
      <c r="H185" s="13"/>
      <c r="I185" s="21"/>
      <c r="J185" s="21"/>
      <c r="K185" s="21"/>
      <c r="L185" s="33"/>
      <c r="M185" s="33"/>
      <c r="N185" s="33"/>
    </row>
    <row r="186" spans="1:14" ht="10.5" customHeight="1">
      <c r="A186" s="15"/>
      <c r="B186" s="10"/>
      <c r="C186" s="31"/>
      <c r="D186" s="16"/>
      <c r="E186" s="17"/>
      <c r="F186" s="17"/>
      <c r="G186" s="26" t="s">
        <v>81</v>
      </c>
      <c r="H186" s="236">
        <f>SUMIF($G$8:$G$183,"SB",H$8:H$183)</f>
        <v>11016.800000000001</v>
      </c>
      <c r="I186" s="236">
        <f>SUMIF($G$8:$G$183,"SB",I$8:I$183)</f>
        <v>11082.870799999999</v>
      </c>
      <c r="J186" s="236">
        <f>SUMIF($G$8:$G$183,"SB",J$8:J$183)</f>
        <v>11149.338024799999</v>
      </c>
      <c r="K186" s="148"/>
      <c r="L186" s="147"/>
      <c r="M186" s="147"/>
      <c r="N186" s="147"/>
    </row>
    <row r="187" spans="1:14" ht="10.5" customHeight="1">
      <c r="A187" s="15"/>
      <c r="B187" s="55"/>
      <c r="C187" s="20"/>
      <c r="D187" s="16"/>
      <c r="E187" s="17"/>
      <c r="F187" s="17"/>
      <c r="G187" s="26" t="s">
        <v>82</v>
      </c>
      <c r="H187" s="236">
        <f>SUMIF($G$8:$G$183,"VB-STD",H$8:H$183)</f>
        <v>10574.199999999999</v>
      </c>
      <c r="I187" s="236">
        <f>SUMIF($G$8:$G$183,"VB-STD",I$8:I$183)</f>
        <v>10637.645200000001</v>
      </c>
      <c r="J187" s="236">
        <f>SUMIF($G$8:$G$183,"VB-STD",J$8:J$183)</f>
        <v>10701.471071199996</v>
      </c>
      <c r="K187" s="94"/>
      <c r="L187" s="41"/>
      <c r="M187" s="41"/>
      <c r="N187" s="41"/>
    </row>
    <row r="188" spans="1:14" ht="10.5" customHeight="1">
      <c r="A188" s="15"/>
      <c r="B188" s="55"/>
      <c r="C188" s="20"/>
      <c r="D188" s="7"/>
      <c r="E188" s="8"/>
      <c r="F188" s="8"/>
      <c r="G188" s="26" t="s">
        <v>83</v>
      </c>
      <c r="H188" s="236">
        <f>SUMIF($G$8:$G$183,"ES",H$8:H$183)</f>
        <v>204.1</v>
      </c>
      <c r="I188" s="236">
        <f>SUMIF($G$8:$G$183,"ES",I$8:I$183)</f>
        <v>205.3246</v>
      </c>
      <c r="J188" s="236">
        <f>SUMIF($G$8:$G$183,"ES",J$8:J$183)</f>
        <v>206.55654760000002</v>
      </c>
      <c r="K188" s="94"/>
      <c r="L188" s="41"/>
      <c r="M188" s="41"/>
      <c r="N188" s="41"/>
    </row>
    <row r="189" spans="1:14" ht="10.5" customHeight="1">
      <c r="A189" s="15"/>
      <c r="B189" s="55"/>
      <c r="C189" s="20"/>
      <c r="D189" s="7"/>
      <c r="E189" s="8"/>
      <c r="F189" s="8"/>
      <c r="G189" s="26" t="s">
        <v>84</v>
      </c>
      <c r="H189" s="236">
        <f>SUMIF($G$8:$G$183,"SAARS",H$8:H$183)</f>
        <v>0</v>
      </c>
      <c r="I189" s="236">
        <f>SUMIF($G$8:$G$183,"SAARS",I$8:I$183)</f>
        <v>0</v>
      </c>
      <c r="J189" s="236">
        <f>SUMIF($G$8:$G$183,"SAARS",J$8:J$183)</f>
        <v>0</v>
      </c>
      <c r="K189" s="94"/>
      <c r="L189" s="41"/>
      <c r="M189" s="41"/>
      <c r="N189" s="41"/>
    </row>
    <row r="190" spans="1:14" ht="10.5" customHeight="1">
      <c r="A190" s="15"/>
      <c r="B190" s="55"/>
      <c r="C190" s="20"/>
      <c r="D190" s="7"/>
      <c r="E190" s="8"/>
      <c r="F190" s="8"/>
      <c r="G190" s="26" t="s">
        <v>85</v>
      </c>
      <c r="H190" s="236">
        <f>SUMIF($G$8:$G$183,"KPPP",H$8:H$183)</f>
        <v>0</v>
      </c>
      <c r="I190" s="236">
        <f>SUMIF($G$8:$G$183,"KPPP",I$8:I$183)</f>
        <v>0</v>
      </c>
      <c r="J190" s="236">
        <f>SUMIF($G$8:$G$183,"KPPP",J$8:J$183)</f>
        <v>0</v>
      </c>
      <c r="K190" s="94"/>
      <c r="L190" s="41"/>
      <c r="M190" s="41"/>
      <c r="N190" s="41"/>
    </row>
    <row r="191" spans="1:14" ht="10.5" customHeight="1">
      <c r="A191" s="15"/>
      <c r="B191" s="55"/>
      <c r="C191" s="20"/>
      <c r="D191" s="7"/>
      <c r="E191" s="8"/>
      <c r="F191" s="8"/>
      <c r="G191" s="27" t="s">
        <v>86</v>
      </c>
      <c r="H191" s="236">
        <f>SUMIF($G$8:$G$183,"UF",H$8:H$183)</f>
        <v>0</v>
      </c>
      <c r="I191" s="236">
        <f>SUMIF($G$8:$G$183,"UF",I$8:I$183)</f>
        <v>0</v>
      </c>
      <c r="J191" s="236">
        <f>SUMIF($G$8:$G$183,"UF",J$8:J$183)</f>
        <v>0</v>
      </c>
      <c r="K191" s="94"/>
      <c r="L191" s="41"/>
      <c r="M191" s="41"/>
      <c r="N191" s="41"/>
    </row>
    <row r="192" spans="1:14" ht="10.5" customHeight="1">
      <c r="A192" s="15"/>
      <c r="B192" s="55"/>
      <c r="C192" s="20"/>
      <c r="D192" s="7"/>
      <c r="E192" s="8"/>
      <c r="F192" s="8"/>
      <c r="G192" s="26" t="s">
        <v>87</v>
      </c>
      <c r="H192" s="236">
        <f>SUMIF($G$8:$G$183,"VB",H$8:H$183)</f>
        <v>0</v>
      </c>
      <c r="I192" s="236">
        <f>SUMIF($G$8:$G$183,"VB",I$8:I$183)</f>
        <v>0</v>
      </c>
      <c r="J192" s="236">
        <f>SUMIF($G$8:$G$183,"VB",J$8:J$183)</f>
        <v>0</v>
      </c>
      <c r="K192" s="94"/>
      <c r="L192" s="41"/>
      <c r="M192" s="41"/>
      <c r="N192" s="41"/>
    </row>
    <row r="193" spans="1:15" ht="10.5" customHeight="1">
      <c r="A193" s="15"/>
      <c r="B193" s="55"/>
      <c r="C193" s="20"/>
      <c r="D193" s="7"/>
      <c r="E193" s="8"/>
      <c r="F193" s="8"/>
      <c r="G193" s="26" t="s">
        <v>88</v>
      </c>
      <c r="H193" s="236">
        <f>SUMIF($G$8:$G$183,"SL",H$8:H$183)</f>
        <v>0</v>
      </c>
      <c r="I193" s="236">
        <f>SUMIF($G$8:$G$183,"SL",I$8:I$183)</f>
        <v>0</v>
      </c>
      <c r="J193" s="236">
        <f>SUMIF($G$8:$G$183,"SL",J$8:J$183)</f>
        <v>0</v>
      </c>
      <c r="K193" s="94"/>
      <c r="L193" s="41"/>
      <c r="M193" s="41"/>
      <c r="N193" s="41"/>
    </row>
    <row r="194" spans="1:15" ht="10.5" customHeight="1">
      <c r="A194" s="24"/>
      <c r="B194" s="11"/>
      <c r="C194" s="23"/>
      <c r="D194" s="7"/>
      <c r="E194" s="8"/>
      <c r="F194" s="8"/>
      <c r="G194" s="26" t="s">
        <v>89</v>
      </c>
      <c r="H194" s="236">
        <f>SUMIF($G$8:$G$183,"PL",H$8:H$183)</f>
        <v>0</v>
      </c>
      <c r="I194" s="236">
        <f>SUMIF($G$8:$G$183,"PL",I$8:I$183)</f>
        <v>0</v>
      </c>
      <c r="J194" s="236">
        <f>SUMIF($G$8:$G$183,"PL",J$8:J$183)</f>
        <v>0</v>
      </c>
      <c r="K194" s="94"/>
      <c r="L194" s="41"/>
      <c r="M194" s="41"/>
      <c r="N194" s="41"/>
    </row>
    <row r="195" spans="1:15" ht="10.5" customHeight="1">
      <c r="A195" s="24"/>
      <c r="B195" s="11"/>
      <c r="C195" s="23"/>
      <c r="D195" s="16"/>
      <c r="E195" s="17"/>
      <c r="F195" s="17"/>
      <c r="G195" s="26" t="s">
        <v>90</v>
      </c>
      <c r="H195" s="236">
        <f>SUMIF($G$8:$G$183,"KL",H$8:H$183)</f>
        <v>0</v>
      </c>
      <c r="I195" s="236">
        <f>SUMIF($G$8:$G$183,"KL",I$8:I$183)</f>
        <v>0</v>
      </c>
      <c r="J195" s="236">
        <f>SUMIF($G$8:$G$183,"KL",J$8:J$183)</f>
        <v>0</v>
      </c>
      <c r="K195" s="148"/>
      <c r="L195" s="147"/>
      <c r="M195" s="147"/>
      <c r="N195" s="147"/>
    </row>
    <row r="196" spans="1:15" ht="10.5" customHeight="1">
      <c r="A196" s="15"/>
      <c r="B196" s="402"/>
      <c r="C196" s="403"/>
      <c r="D196" s="16"/>
      <c r="E196" s="17"/>
      <c r="F196" s="17"/>
      <c r="G196" s="26" t="s">
        <v>91</v>
      </c>
      <c r="H196" s="236">
        <f>SUMIF($G$8:$G$183,"TPP",H$8:H$183)</f>
        <v>957</v>
      </c>
      <c r="I196" s="236">
        <f>SUMIF($G$8:$G$183,"TPP",I$8:I$183)</f>
        <v>962.69640000000004</v>
      </c>
      <c r="J196" s="236">
        <f>SUMIF($G$8:$G$183,"TPP",J$8:J$183)</f>
        <v>968.42697840000005</v>
      </c>
      <c r="K196" s="94"/>
      <c r="L196" s="41"/>
      <c r="M196" s="41"/>
      <c r="N196" s="41"/>
    </row>
    <row r="197" spans="1:15" s="4" customFormat="1" ht="10.5" customHeight="1">
      <c r="A197" s="48"/>
      <c r="B197" s="5"/>
      <c r="C197" s="5"/>
      <c r="D197" s="5"/>
      <c r="E197" s="5"/>
      <c r="F197" s="5"/>
      <c r="G197" s="28" t="s">
        <v>8</v>
      </c>
      <c r="H197" s="404">
        <f>SUM(H186:H196)</f>
        <v>22752.1</v>
      </c>
      <c r="I197" s="404">
        <f>SUM(I186:I196)</f>
        <v>22888.537</v>
      </c>
      <c r="J197" s="404">
        <f>SUM(J186:J196)</f>
        <v>23025.792621999997</v>
      </c>
      <c r="K197" s="49"/>
      <c r="L197" s="139"/>
      <c r="M197" s="405"/>
      <c r="N197" s="405"/>
    </row>
    <row r="198" spans="1:15" s="556" customFormat="1">
      <c r="A198" s="554"/>
      <c r="B198" s="555"/>
      <c r="C198" s="555"/>
      <c r="D198" s="555"/>
      <c r="E198" s="555"/>
      <c r="F198" s="555"/>
      <c r="H198" s="557"/>
      <c r="I198" s="557"/>
      <c r="J198" s="557"/>
      <c r="K198" s="558"/>
      <c r="L198" s="554"/>
      <c r="M198" s="559"/>
      <c r="N198" s="554"/>
      <c r="O198" s="558"/>
    </row>
    <row r="199" spans="1:15" s="556" customFormat="1">
      <c r="A199" s="560"/>
      <c r="B199" s="555"/>
      <c r="C199" s="555"/>
      <c r="D199" s="555"/>
      <c r="E199" s="555"/>
      <c r="F199" s="555"/>
      <c r="H199" s="558"/>
      <c r="I199" s="558"/>
      <c r="J199" s="558"/>
      <c r="K199" s="558"/>
      <c r="L199" s="554"/>
      <c r="M199" s="554"/>
      <c r="N199" s="554"/>
      <c r="O199" s="558"/>
    </row>
    <row r="200" spans="1:15" s="556" customFormat="1">
      <c r="A200" s="560"/>
      <c r="B200" s="555"/>
      <c r="C200" s="555"/>
      <c r="D200" s="555" t="s">
        <v>25</v>
      </c>
      <c r="E200" s="555"/>
      <c r="F200" s="555"/>
      <c r="H200" s="555"/>
      <c r="I200" s="561"/>
      <c r="J200" s="561"/>
      <c r="K200" s="561"/>
      <c r="L200" s="562"/>
      <c r="M200" s="562"/>
      <c r="N200" s="562"/>
      <c r="O200" s="561"/>
    </row>
    <row r="201" spans="1:15" s="556" customFormat="1">
      <c r="A201" s="560"/>
      <c r="B201" s="555"/>
      <c r="C201" s="555"/>
      <c r="D201" s="555"/>
      <c r="E201" s="555"/>
      <c r="F201" s="555"/>
      <c r="H201" s="555"/>
      <c r="L201" s="555"/>
      <c r="M201" s="555"/>
      <c r="N201" s="555"/>
    </row>
    <row r="202" spans="1:15" s="4" customFormat="1">
      <c r="A202" s="53"/>
      <c r="B202" s="5"/>
      <c r="C202" s="5"/>
      <c r="D202" s="5"/>
      <c r="E202" s="5"/>
      <c r="F202" s="5"/>
      <c r="H202" s="5"/>
      <c r="L202" s="5"/>
      <c r="M202" s="5"/>
      <c r="N202" s="5"/>
    </row>
    <row r="203" spans="1:15" s="4" customFormat="1">
      <c r="A203" s="53"/>
      <c r="B203" s="5"/>
      <c r="C203" s="5"/>
      <c r="D203" s="5"/>
      <c r="E203" s="5"/>
      <c r="F203" s="5"/>
      <c r="H203" s="5"/>
      <c r="L203" s="5"/>
      <c r="M203" s="5"/>
      <c r="N203" s="5"/>
    </row>
    <row r="204" spans="1:15" s="4" customFormat="1">
      <c r="A204" s="53"/>
      <c r="B204" s="5"/>
      <c r="C204" s="5"/>
      <c r="D204" s="5"/>
      <c r="E204" s="5"/>
      <c r="F204" s="5"/>
      <c r="H204" s="5"/>
      <c r="L204" s="5"/>
      <c r="M204" s="5"/>
      <c r="N204" s="5"/>
    </row>
    <row r="205" spans="1:15" s="4" customFormat="1">
      <c r="A205" s="53"/>
      <c r="B205" s="5"/>
      <c r="C205" s="5"/>
      <c r="D205" s="5"/>
      <c r="E205" s="5"/>
      <c r="F205" s="5"/>
      <c r="H205" s="5"/>
      <c r="L205" s="5"/>
      <c r="M205" s="5"/>
      <c r="N205" s="5"/>
    </row>
    <row r="206" spans="1:15" s="4" customFormat="1">
      <c r="A206" s="53"/>
      <c r="B206" s="5"/>
      <c r="C206" s="5"/>
      <c r="D206" s="5"/>
      <c r="E206" s="5"/>
      <c r="F206" s="5"/>
      <c r="H206" s="5"/>
      <c r="L206" s="5"/>
      <c r="M206" s="5"/>
      <c r="N206" s="5"/>
    </row>
    <row r="207" spans="1:15">
      <c r="G207" s="226"/>
    </row>
    <row r="208" spans="1:15">
      <c r="F208" s="563"/>
      <c r="G208" s="226"/>
    </row>
    <row r="209" spans="7:7">
      <c r="G209" s="226"/>
    </row>
    <row r="210" spans="7:7">
      <c r="G210" s="226"/>
    </row>
    <row r="211" spans="7:7">
      <c r="G211" s="226"/>
    </row>
  </sheetData>
  <mergeCells count="315">
    <mergeCell ref="M125:M126"/>
    <mergeCell ref="N125:N126"/>
    <mergeCell ref="K121:K122"/>
    <mergeCell ref="C113:G113"/>
    <mergeCell ref="C125:E126"/>
    <mergeCell ref="F125:F126"/>
    <mergeCell ref="G125:G126"/>
    <mergeCell ref="H125:H126"/>
    <mergeCell ref="I125:I126"/>
    <mergeCell ref="J125:J126"/>
    <mergeCell ref="K125:K126"/>
    <mergeCell ref="L125:L126"/>
    <mergeCell ref="B116:G116"/>
    <mergeCell ref="K87:K88"/>
    <mergeCell ref="L87:L88"/>
    <mergeCell ref="M87:M88"/>
    <mergeCell ref="N87:N88"/>
    <mergeCell ref="K89:K90"/>
    <mergeCell ref="L89:L90"/>
    <mergeCell ref="M89:M90"/>
    <mergeCell ref="N89:N90"/>
    <mergeCell ref="C112:E112"/>
    <mergeCell ref="C108:E108"/>
    <mergeCell ref="C109:G109"/>
    <mergeCell ref="K91:K92"/>
    <mergeCell ref="L91:L92"/>
    <mergeCell ref="M91:M92"/>
    <mergeCell ref="N91:N92"/>
    <mergeCell ref="H97:H98"/>
    <mergeCell ref="N77:N78"/>
    <mergeCell ref="N79:N80"/>
    <mergeCell ref="N81:N82"/>
    <mergeCell ref="F83:F84"/>
    <mergeCell ref="F85:F86"/>
    <mergeCell ref="F87:F88"/>
    <mergeCell ref="F89:F90"/>
    <mergeCell ref="K77:K78"/>
    <mergeCell ref="K79:K80"/>
    <mergeCell ref="L77:L78"/>
    <mergeCell ref="M77:M78"/>
    <mergeCell ref="L79:L80"/>
    <mergeCell ref="M79:M80"/>
    <mergeCell ref="K81:K82"/>
    <mergeCell ref="L81:L82"/>
    <mergeCell ref="M81:M82"/>
    <mergeCell ref="K83:K84"/>
    <mergeCell ref="L83:L84"/>
    <mergeCell ref="M83:M84"/>
    <mergeCell ref="N83:N84"/>
    <mergeCell ref="K85:K86"/>
    <mergeCell ref="L85:L86"/>
    <mergeCell ref="M85:M86"/>
    <mergeCell ref="N85:N86"/>
    <mergeCell ref="L56:L57"/>
    <mergeCell ref="M56:M57"/>
    <mergeCell ref="N56:N57"/>
    <mergeCell ref="K56:K57"/>
    <mergeCell ref="K58:K59"/>
    <mergeCell ref="L58:L59"/>
    <mergeCell ref="M58:M59"/>
    <mergeCell ref="N58:N59"/>
    <mergeCell ref="K60:K61"/>
    <mergeCell ref="L60:L61"/>
    <mergeCell ref="M60:M61"/>
    <mergeCell ref="N60:N61"/>
    <mergeCell ref="K52:K53"/>
    <mergeCell ref="L52:L53"/>
    <mergeCell ref="M52:M53"/>
    <mergeCell ref="N52:N53"/>
    <mergeCell ref="F54:F55"/>
    <mergeCell ref="K54:K55"/>
    <mergeCell ref="L54:L55"/>
    <mergeCell ref="M54:M55"/>
    <mergeCell ref="N54:N55"/>
    <mergeCell ref="K48:K49"/>
    <mergeCell ref="L48:L49"/>
    <mergeCell ref="M48:M49"/>
    <mergeCell ref="N48:N49"/>
    <mergeCell ref="F50:F51"/>
    <mergeCell ref="K50:K51"/>
    <mergeCell ref="L50:L51"/>
    <mergeCell ref="M50:M51"/>
    <mergeCell ref="N50:N51"/>
    <mergeCell ref="N40:N41"/>
    <mergeCell ref="F42:F43"/>
    <mergeCell ref="K42:K43"/>
    <mergeCell ref="L42:L43"/>
    <mergeCell ref="M42:M43"/>
    <mergeCell ref="N42:N43"/>
    <mergeCell ref="K46:K47"/>
    <mergeCell ref="L44:L45"/>
    <mergeCell ref="M44:M45"/>
    <mergeCell ref="N44:N45"/>
    <mergeCell ref="F46:F47"/>
    <mergeCell ref="L46:L47"/>
    <mergeCell ref="M46:M47"/>
    <mergeCell ref="N46:N47"/>
    <mergeCell ref="K44:K45"/>
    <mergeCell ref="K32:K33"/>
    <mergeCell ref="L32:L33"/>
    <mergeCell ref="M32:M33"/>
    <mergeCell ref="N32:N33"/>
    <mergeCell ref="F34:F35"/>
    <mergeCell ref="K34:K35"/>
    <mergeCell ref="L34:L35"/>
    <mergeCell ref="M34:M35"/>
    <mergeCell ref="C96:G96"/>
    <mergeCell ref="J94:J95"/>
    <mergeCell ref="N34:N35"/>
    <mergeCell ref="F36:F37"/>
    <mergeCell ref="K36:K37"/>
    <mergeCell ref="L36:L37"/>
    <mergeCell ref="M36:M37"/>
    <mergeCell ref="N36:N37"/>
    <mergeCell ref="F38:F39"/>
    <mergeCell ref="K38:K39"/>
    <mergeCell ref="L38:L39"/>
    <mergeCell ref="M38:M39"/>
    <mergeCell ref="N38:N39"/>
    <mergeCell ref="K40:K41"/>
    <mergeCell ref="L40:L41"/>
    <mergeCell ref="M40:M41"/>
    <mergeCell ref="K28:K29"/>
    <mergeCell ref="N28:N29"/>
    <mergeCell ref="M28:M29"/>
    <mergeCell ref="L28:L29"/>
    <mergeCell ref="F30:F31"/>
    <mergeCell ref="K30:K31"/>
    <mergeCell ref="L30:L31"/>
    <mergeCell ref="M30:M31"/>
    <mergeCell ref="N30:N31"/>
    <mergeCell ref="B143:G143"/>
    <mergeCell ref="B161:B166"/>
    <mergeCell ref="C134:E134"/>
    <mergeCell ref="C144:E148"/>
    <mergeCell ref="B154:G154"/>
    <mergeCell ref="B151:B153"/>
    <mergeCell ref="B144:B149"/>
    <mergeCell ref="I131:I132"/>
    <mergeCell ref="B137:B142"/>
    <mergeCell ref="G139:G141"/>
    <mergeCell ref="H137:H138"/>
    <mergeCell ref="I137:I138"/>
    <mergeCell ref="H131:H132"/>
    <mergeCell ref="F130:F132"/>
    <mergeCell ref="C151:E152"/>
    <mergeCell ref="C153:G153"/>
    <mergeCell ref="G131:G132"/>
    <mergeCell ref="C130:E132"/>
    <mergeCell ref="A184:G184"/>
    <mergeCell ref="C181:G181"/>
    <mergeCell ref="B168:B177"/>
    <mergeCell ref="B155:B158"/>
    <mergeCell ref="B159:G159"/>
    <mergeCell ref="B178:G178"/>
    <mergeCell ref="B179:B181"/>
    <mergeCell ref="B182:G182"/>
    <mergeCell ref="A161:A182"/>
    <mergeCell ref="A183:G183"/>
    <mergeCell ref="A130:A159"/>
    <mergeCell ref="A160:G160"/>
    <mergeCell ref="C166:G166"/>
    <mergeCell ref="C171:G171"/>
    <mergeCell ref="F144:F148"/>
    <mergeCell ref="C149:G149"/>
    <mergeCell ref="F151:F152"/>
    <mergeCell ref="F155:F157"/>
    <mergeCell ref="C177:G177"/>
    <mergeCell ref="C137:E141"/>
    <mergeCell ref="B150:G150"/>
    <mergeCell ref="C133:G133"/>
    <mergeCell ref="C135:G135"/>
    <mergeCell ref="B130:B135"/>
    <mergeCell ref="K5:N5"/>
    <mergeCell ref="K6:K7"/>
    <mergeCell ref="L6:N6"/>
    <mergeCell ref="J5:J7"/>
    <mergeCell ref="F5:F7"/>
    <mergeCell ref="H5:H7"/>
    <mergeCell ref="I5:I7"/>
    <mergeCell ref="G5:G7"/>
    <mergeCell ref="B136:G136"/>
    <mergeCell ref="C27:E61"/>
    <mergeCell ref="C76:G76"/>
    <mergeCell ref="C69:E75"/>
    <mergeCell ref="C101:G101"/>
    <mergeCell ref="C100:E100"/>
    <mergeCell ref="B128:G128"/>
    <mergeCell ref="L121:L122"/>
    <mergeCell ref="M121:M122"/>
    <mergeCell ref="N121:N122"/>
    <mergeCell ref="I117:I118"/>
    <mergeCell ref="J117:J118"/>
    <mergeCell ref="J131:J132"/>
    <mergeCell ref="A129:G129"/>
    <mergeCell ref="C94:E95"/>
    <mergeCell ref="A68:G68"/>
    <mergeCell ref="C26:G26"/>
    <mergeCell ref="C8:E25"/>
    <mergeCell ref="C62:G62"/>
    <mergeCell ref="C119:G119"/>
    <mergeCell ref="C124:G124"/>
    <mergeCell ref="C117:E118"/>
    <mergeCell ref="F117:F118"/>
    <mergeCell ref="G94:G95"/>
    <mergeCell ref="B8:B66"/>
    <mergeCell ref="F97:F98"/>
    <mergeCell ref="G97:G98"/>
    <mergeCell ref="C111:G111"/>
    <mergeCell ref="C114:E114"/>
    <mergeCell ref="C115:G115"/>
    <mergeCell ref="C107:E107"/>
    <mergeCell ref="A69:A92"/>
    <mergeCell ref="A93:G93"/>
    <mergeCell ref="C127:G127"/>
    <mergeCell ref="B117:B127"/>
    <mergeCell ref="F28:F29"/>
    <mergeCell ref="A5:A7"/>
    <mergeCell ref="B5:B7"/>
    <mergeCell ref="C5:C7"/>
    <mergeCell ref="D5:D7"/>
    <mergeCell ref="E5:E7"/>
    <mergeCell ref="F40:F41"/>
    <mergeCell ref="F44:F45"/>
    <mergeCell ref="F48:F49"/>
    <mergeCell ref="F52:F53"/>
    <mergeCell ref="F56:F57"/>
    <mergeCell ref="F58:F59"/>
    <mergeCell ref="F60:F61"/>
    <mergeCell ref="F77:F78"/>
    <mergeCell ref="F79:F80"/>
    <mergeCell ref="F81:F82"/>
    <mergeCell ref="A8:A67"/>
    <mergeCell ref="B67:G67"/>
    <mergeCell ref="C64:G64"/>
    <mergeCell ref="F32:F33"/>
    <mergeCell ref="J144:J146"/>
    <mergeCell ref="G147:G148"/>
    <mergeCell ref="H147:H148"/>
    <mergeCell ref="I147:I148"/>
    <mergeCell ref="J147:J148"/>
    <mergeCell ref="A94:A128"/>
    <mergeCell ref="B69:B91"/>
    <mergeCell ref="B92:G92"/>
    <mergeCell ref="C91:G91"/>
    <mergeCell ref="I97:I98"/>
    <mergeCell ref="J97:J98"/>
    <mergeCell ref="C102:E102"/>
    <mergeCell ref="C103:G103"/>
    <mergeCell ref="C97:E98"/>
    <mergeCell ref="C99:G99"/>
    <mergeCell ref="B94:B115"/>
    <mergeCell ref="C104:E104"/>
    <mergeCell ref="C105:G105"/>
    <mergeCell ref="G117:G118"/>
    <mergeCell ref="H117:H118"/>
    <mergeCell ref="H120:H123"/>
    <mergeCell ref="I120:I123"/>
    <mergeCell ref="J120:J123"/>
    <mergeCell ref="C106:E106"/>
    <mergeCell ref="C174:G174"/>
    <mergeCell ref="C158:G158"/>
    <mergeCell ref="C155:E157"/>
    <mergeCell ref="C161:E165"/>
    <mergeCell ref="G163:G165"/>
    <mergeCell ref="H163:H165"/>
    <mergeCell ref="I163:I165"/>
    <mergeCell ref="C172:E173"/>
    <mergeCell ref="F172:F173"/>
    <mergeCell ref="G172:G173"/>
    <mergeCell ref="H172:H173"/>
    <mergeCell ref="B167:G167"/>
    <mergeCell ref="I172:I173"/>
    <mergeCell ref="C168:E170"/>
    <mergeCell ref="F168:F170"/>
    <mergeCell ref="G168:G170"/>
    <mergeCell ref="H168:H170"/>
    <mergeCell ref="I168:I170"/>
    <mergeCell ref="F161:F165"/>
    <mergeCell ref="J168:J170"/>
    <mergeCell ref="C63:E63"/>
    <mergeCell ref="C77:E90"/>
    <mergeCell ref="J172:J173"/>
    <mergeCell ref="J163:J165"/>
    <mergeCell ref="C110:E110"/>
    <mergeCell ref="C120:E123"/>
    <mergeCell ref="F120:F123"/>
    <mergeCell ref="G120:G123"/>
    <mergeCell ref="C142:G142"/>
    <mergeCell ref="C65:E65"/>
    <mergeCell ref="C66:G66"/>
    <mergeCell ref="I94:I95"/>
    <mergeCell ref="H94:H95"/>
    <mergeCell ref="F94:F95"/>
    <mergeCell ref="F137:F141"/>
    <mergeCell ref="G137:G138"/>
    <mergeCell ref="J137:J138"/>
    <mergeCell ref="H139:H141"/>
    <mergeCell ref="I139:I141"/>
    <mergeCell ref="J139:J141"/>
    <mergeCell ref="G144:G146"/>
    <mergeCell ref="H144:H146"/>
    <mergeCell ref="I144:I146"/>
    <mergeCell ref="C175:E176"/>
    <mergeCell ref="F175:F176"/>
    <mergeCell ref="G175:G176"/>
    <mergeCell ref="H175:H176"/>
    <mergeCell ref="I175:I176"/>
    <mergeCell ref="J175:J176"/>
    <mergeCell ref="C179:E180"/>
    <mergeCell ref="F179:F180"/>
    <mergeCell ref="G179:G180"/>
    <mergeCell ref="H179:H180"/>
    <mergeCell ref="I179:I180"/>
    <mergeCell ref="J179:J180"/>
  </mergeCells>
  <phoneticPr fontId="8" type="noConversion"/>
  <pageMargins left="0.39370078740157483" right="0.27559055118110237" top="0.59055118110236227" bottom="0.39370078740157483" header="0.31496062992125984" footer="0.35433070866141736"/>
  <pageSetup paperSize="9" scale="92" fitToHeight="0" orientation="landscape" useFirstPageNumber="1" r:id="rId1"/>
  <headerFooter alignWithMargins="0">
    <oddHeader>&amp;C1.1.-&amp;P</oddHeader>
  </headerFooter>
  <ignoredErrors>
    <ignoredError sqref="I67:J6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4"/>
  <sheetViews>
    <sheetView workbookViewId="0">
      <selection activeCell="H12" sqref="H12"/>
    </sheetView>
  </sheetViews>
  <sheetFormatPr defaultColWidth="8.85546875" defaultRowHeight="12.75"/>
  <cols>
    <col min="1" max="1" width="23.140625" style="882" bestFit="1" customWidth="1"/>
    <col min="2" max="5" width="13.42578125" style="882" customWidth="1"/>
    <col min="6" max="16384" width="8.85546875" style="882"/>
  </cols>
  <sheetData>
    <row r="1" spans="1:6" ht="39" customHeight="1">
      <c r="A1" s="880"/>
      <c r="B1" s="880" t="s">
        <v>442</v>
      </c>
      <c r="C1" s="881" t="s">
        <v>443</v>
      </c>
      <c r="D1" s="880" t="s">
        <v>389</v>
      </c>
      <c r="E1" s="880" t="s">
        <v>444</v>
      </c>
    </row>
    <row r="2" spans="1:6" ht="13.5" customHeight="1">
      <c r="A2" s="883" t="s">
        <v>31</v>
      </c>
      <c r="B2" s="884">
        <v>20273.599999999999</v>
      </c>
      <c r="C2" s="884">
        <f>'1 programa'!H184</f>
        <v>22752.1</v>
      </c>
      <c r="D2" s="884">
        <f>'1 programa'!I184</f>
        <v>22888.537</v>
      </c>
      <c r="E2" s="884">
        <f>'1 programa'!J184</f>
        <v>23025.792621999997</v>
      </c>
    </row>
    <row r="3" spans="1:6" ht="15" customHeight="1">
      <c r="A3" s="881" t="s">
        <v>32</v>
      </c>
      <c r="B3" s="884">
        <f>SUM(B4:B14)</f>
        <v>20273.599999999999</v>
      </c>
      <c r="C3" s="884">
        <f>SUM(C4:C14)</f>
        <v>22752.1</v>
      </c>
      <c r="D3" s="884">
        <f>SUM(D4:D14)</f>
        <v>22888.537</v>
      </c>
      <c r="E3" s="884">
        <f>SUM(E4:E14)</f>
        <v>23025.792621999997</v>
      </c>
    </row>
    <row r="4" spans="1:6">
      <c r="A4" s="885" t="s">
        <v>81</v>
      </c>
      <c r="B4" s="884">
        <v>10155.799999999999</v>
      </c>
      <c r="C4" s="884">
        <f>'1 programa'!H186</f>
        <v>11016.800000000001</v>
      </c>
      <c r="D4" s="884">
        <f>'1 programa'!I186</f>
        <v>11082.870799999999</v>
      </c>
      <c r="E4" s="884">
        <f>'1 programa'!J186</f>
        <v>11149.338024799999</v>
      </c>
      <c r="F4" s="886"/>
    </row>
    <row r="5" spans="1:6" ht="22.5">
      <c r="A5" s="885" t="s">
        <v>82</v>
      </c>
      <c r="B5" s="884">
        <v>9471.5</v>
      </c>
      <c r="C5" s="884">
        <f>'1 programa'!H187</f>
        <v>10574.199999999999</v>
      </c>
      <c r="D5" s="884">
        <f>'1 programa'!I187</f>
        <v>10637.645200000001</v>
      </c>
      <c r="E5" s="884">
        <f>'1 programa'!J187</f>
        <v>10701.471071199996</v>
      </c>
    </row>
    <row r="6" spans="1:6" ht="22.5">
      <c r="A6" s="885" t="s">
        <v>83</v>
      </c>
      <c r="B6" s="884">
        <v>0</v>
      </c>
      <c r="C6" s="884">
        <f>'1 programa'!H188</f>
        <v>204.1</v>
      </c>
      <c r="D6" s="884">
        <f>'1 programa'!I188</f>
        <v>205.3246</v>
      </c>
      <c r="E6" s="884">
        <f>'1 programa'!J188</f>
        <v>206.55654760000002</v>
      </c>
    </row>
    <row r="7" spans="1:6" ht="22.5">
      <c r="A7" s="885" t="s">
        <v>84</v>
      </c>
      <c r="B7" s="884">
        <v>0</v>
      </c>
      <c r="C7" s="884">
        <f>'1 programa'!H189</f>
        <v>0</v>
      </c>
      <c r="D7" s="884">
        <f>'1 programa'!I189</f>
        <v>0</v>
      </c>
      <c r="E7" s="884">
        <f>'1 programa'!J189</f>
        <v>0</v>
      </c>
    </row>
    <row r="8" spans="1:6" ht="22.5">
      <c r="A8" s="885" t="s">
        <v>85</v>
      </c>
      <c r="B8" s="884">
        <v>0</v>
      </c>
      <c r="C8" s="884">
        <f>'1 programa'!H190</f>
        <v>0</v>
      </c>
      <c r="D8" s="884">
        <f>'1 programa'!I190</f>
        <v>0</v>
      </c>
      <c r="E8" s="884">
        <f>'1 programa'!J190</f>
        <v>0</v>
      </c>
    </row>
    <row r="9" spans="1:6">
      <c r="A9" s="885" t="s">
        <v>86</v>
      </c>
      <c r="B9" s="884">
        <v>0</v>
      </c>
      <c r="C9" s="884">
        <f>'1 programa'!H191</f>
        <v>0</v>
      </c>
      <c r="D9" s="884">
        <f>'1 programa'!I191</f>
        <v>0</v>
      </c>
      <c r="E9" s="884">
        <f>'1 programa'!J191</f>
        <v>0</v>
      </c>
    </row>
    <row r="10" spans="1:6" ht="22.5">
      <c r="A10" s="885" t="s">
        <v>87</v>
      </c>
      <c r="B10" s="884">
        <v>0</v>
      </c>
      <c r="C10" s="884">
        <f>'1 programa'!H192</f>
        <v>0</v>
      </c>
      <c r="D10" s="884">
        <f>'1 programa'!I192</f>
        <v>0</v>
      </c>
      <c r="E10" s="884">
        <f>'1 programa'!J192</f>
        <v>0</v>
      </c>
    </row>
    <row r="11" spans="1:6" ht="13.5" customHeight="1">
      <c r="A11" s="885" t="s">
        <v>88</v>
      </c>
      <c r="B11" s="884">
        <v>0</v>
      </c>
      <c r="C11" s="884">
        <f>'1 programa'!H193</f>
        <v>0</v>
      </c>
      <c r="D11" s="884">
        <f>'1 programa'!I193</f>
        <v>0</v>
      </c>
      <c r="E11" s="884">
        <f>'1 programa'!J193</f>
        <v>0</v>
      </c>
    </row>
    <row r="12" spans="1:6" ht="13.5" customHeight="1">
      <c r="A12" s="885" t="s">
        <v>89</v>
      </c>
      <c r="B12" s="884">
        <v>0</v>
      </c>
      <c r="C12" s="884">
        <f>'1 programa'!H194</f>
        <v>0</v>
      </c>
      <c r="D12" s="884">
        <f>'1 programa'!I194</f>
        <v>0</v>
      </c>
      <c r="E12" s="884">
        <f>'1 programa'!J194</f>
        <v>0</v>
      </c>
    </row>
    <row r="13" spans="1:6" ht="12.75" customHeight="1">
      <c r="A13" s="885" t="s">
        <v>90</v>
      </c>
      <c r="B13" s="884">
        <v>0</v>
      </c>
      <c r="C13" s="884">
        <f>'1 programa'!H195</f>
        <v>0</v>
      </c>
      <c r="D13" s="884">
        <f>'1 programa'!I195</f>
        <v>0</v>
      </c>
      <c r="E13" s="884">
        <f>'1 programa'!J195</f>
        <v>0</v>
      </c>
    </row>
    <row r="14" spans="1:6">
      <c r="A14" s="885" t="s">
        <v>91</v>
      </c>
      <c r="B14" s="884">
        <v>646.29999999999995</v>
      </c>
      <c r="C14" s="884">
        <f>'1 programa'!H196</f>
        <v>957</v>
      </c>
      <c r="D14" s="884">
        <f>'1 programa'!I196</f>
        <v>962.69640000000004</v>
      </c>
      <c r="E14" s="884">
        <f>'1 programa'!J196</f>
        <v>968.42697840000005</v>
      </c>
    </row>
    <row r="15" spans="1:6">
      <c r="B15" s="886"/>
      <c r="C15" s="886"/>
      <c r="D15" s="886"/>
      <c r="E15" s="886"/>
    </row>
    <row r="17" spans="3:5">
      <c r="C17" s="886"/>
      <c r="D17" s="886"/>
      <c r="E17" s="886"/>
    </row>
    <row r="24" spans="3:5" ht="14.25" customHeight="1"/>
  </sheetData>
  <phoneticPr fontId="6" type="noConversion"/>
  <pageMargins left="0.75" right="0.75" top="1" bottom="1" header="0" footer="0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5"/>
  <sheetViews>
    <sheetView workbookViewId="0">
      <selection activeCell="N6" sqref="N6"/>
    </sheetView>
  </sheetViews>
  <sheetFormatPr defaultColWidth="8.85546875" defaultRowHeight="12.75"/>
  <cols>
    <col min="1" max="1" width="23" style="882" customWidth="1"/>
    <col min="2" max="2" width="11.140625" style="882" customWidth="1"/>
    <col min="3" max="3" width="14.7109375" style="882" customWidth="1"/>
    <col min="4" max="5" width="11.140625" style="882" customWidth="1"/>
    <col min="6" max="16384" width="8.85546875" style="882"/>
  </cols>
  <sheetData>
    <row r="1" spans="1:5" ht="38.25" customHeight="1">
      <c r="A1" s="880"/>
      <c r="B1" s="880" t="s">
        <v>442</v>
      </c>
      <c r="C1" s="881" t="s">
        <v>443</v>
      </c>
      <c r="D1" s="880" t="s">
        <v>389</v>
      </c>
      <c r="E1" s="880" t="s">
        <v>444</v>
      </c>
    </row>
    <row r="2" spans="1:5" ht="12.75" customHeight="1">
      <c r="A2" s="883" t="s">
        <v>31</v>
      </c>
      <c r="B2" s="884">
        <v>17477.599999999999</v>
      </c>
      <c r="C2" s="884">
        <f>'2 programa'!H157</f>
        <v>17534</v>
      </c>
      <c r="D2" s="884">
        <f>'2 programa'!I157</f>
        <v>17679.110799999999</v>
      </c>
      <c r="E2" s="884">
        <f>'2 programa'!J157</f>
        <v>17054.628264799998</v>
      </c>
    </row>
    <row r="3" spans="1:5">
      <c r="A3" s="881" t="s">
        <v>32</v>
      </c>
      <c r="B3" s="884">
        <f>SUM(B4:B14)</f>
        <v>17477.600000000002</v>
      </c>
      <c r="C3" s="884">
        <f>SUM(C4:C14)</f>
        <v>17534</v>
      </c>
      <c r="D3" s="884">
        <f>SUM(D4:D14)</f>
        <v>17679.110800000002</v>
      </c>
      <c r="E3" s="884">
        <f>SUM(E4:E14)</f>
        <v>17054.628264800001</v>
      </c>
    </row>
    <row r="4" spans="1:5" ht="13.5" customHeight="1">
      <c r="A4" s="885" t="s">
        <v>81</v>
      </c>
      <c r="B4" s="884">
        <v>5498.1</v>
      </c>
      <c r="C4" s="884">
        <f>'2 programa'!H159</f>
        <v>6173.1</v>
      </c>
      <c r="D4" s="884">
        <f>'2 programa'!I159</f>
        <v>6194.9676000000009</v>
      </c>
      <c r="E4" s="884">
        <f>'2 programa'!J159</f>
        <v>6167.954605599999</v>
      </c>
    </row>
    <row r="5" spans="1:5" ht="22.5">
      <c r="A5" s="885" t="s">
        <v>82</v>
      </c>
      <c r="B5" s="884">
        <v>1177.5999999999999</v>
      </c>
      <c r="C5" s="884">
        <f>'2 programa'!H160</f>
        <v>1271.1000000000001</v>
      </c>
      <c r="D5" s="884">
        <f>'2 programa'!I160</f>
        <v>1278.7266</v>
      </c>
      <c r="E5" s="884">
        <f>'2 programa'!J160</f>
        <v>1286.3989595999999</v>
      </c>
    </row>
    <row r="6" spans="1:5" ht="22.5">
      <c r="A6" s="885" t="s">
        <v>83</v>
      </c>
      <c r="B6" s="884">
        <v>487.7</v>
      </c>
      <c r="C6" s="884">
        <f>'2 programa'!H161</f>
        <v>603.70000000000005</v>
      </c>
      <c r="D6" s="884">
        <f>'2 programa'!I161</f>
        <v>662.4</v>
      </c>
      <c r="E6" s="884">
        <f>'2 programa'!J161</f>
        <v>0</v>
      </c>
    </row>
    <row r="7" spans="1:5" ht="22.5">
      <c r="A7" s="885" t="s">
        <v>84</v>
      </c>
      <c r="B7" s="884">
        <v>0</v>
      </c>
      <c r="C7" s="884">
        <f>'2 programa'!H162</f>
        <v>0</v>
      </c>
      <c r="D7" s="884">
        <f>'2 programa'!I162</f>
        <v>0</v>
      </c>
      <c r="E7" s="884">
        <f>'2 programa'!J162</f>
        <v>0</v>
      </c>
    </row>
    <row r="8" spans="1:5" ht="22.5">
      <c r="A8" s="885" t="s">
        <v>85</v>
      </c>
      <c r="B8" s="884">
        <v>0</v>
      </c>
      <c r="C8" s="884">
        <f>'2 programa'!H163</f>
        <v>0</v>
      </c>
      <c r="D8" s="884">
        <f>'2 programa'!I163</f>
        <v>0</v>
      </c>
      <c r="E8" s="884">
        <f>'2 programa'!J163</f>
        <v>0</v>
      </c>
    </row>
    <row r="9" spans="1:5" ht="15" customHeight="1">
      <c r="A9" s="885" t="s">
        <v>86</v>
      </c>
      <c r="B9" s="884">
        <v>0</v>
      </c>
      <c r="C9" s="884">
        <f>'2 programa'!H164</f>
        <v>0</v>
      </c>
      <c r="D9" s="884">
        <f>'2 programa'!I164</f>
        <v>0</v>
      </c>
      <c r="E9" s="884">
        <f>'2 programa'!J164</f>
        <v>0</v>
      </c>
    </row>
    <row r="10" spans="1:5" ht="22.5">
      <c r="A10" s="885" t="s">
        <v>87</v>
      </c>
      <c r="B10" s="884">
        <v>9889</v>
      </c>
      <c r="C10" s="884">
        <f>'2 programa'!H165</f>
        <v>9004</v>
      </c>
      <c r="D10" s="884">
        <f>'2 programa'!I165</f>
        <v>9058.0239999999994</v>
      </c>
      <c r="E10" s="884">
        <f>'2 programa'!J165</f>
        <v>9112.3721440000008</v>
      </c>
    </row>
    <row r="11" spans="1:5">
      <c r="A11" s="885" t="s">
        <v>88</v>
      </c>
      <c r="B11" s="884">
        <v>0</v>
      </c>
      <c r="C11" s="884">
        <f>'2 programa'!H166</f>
        <v>0</v>
      </c>
      <c r="D11" s="884">
        <f>'2 programa'!I166</f>
        <v>0</v>
      </c>
      <c r="E11" s="884">
        <f>'2 programa'!J166</f>
        <v>0</v>
      </c>
    </row>
    <row r="12" spans="1:5">
      <c r="A12" s="885" t="s">
        <v>89</v>
      </c>
      <c r="B12" s="884">
        <v>0</v>
      </c>
      <c r="C12" s="884">
        <f>'2 programa'!H167</f>
        <v>0</v>
      </c>
      <c r="D12" s="884">
        <f>'2 programa'!I167</f>
        <v>0</v>
      </c>
      <c r="E12" s="884">
        <f>'2 programa'!J167</f>
        <v>0</v>
      </c>
    </row>
    <row r="13" spans="1:5">
      <c r="A13" s="885" t="s">
        <v>90</v>
      </c>
      <c r="B13" s="884">
        <v>0</v>
      </c>
      <c r="C13" s="884">
        <f>'2 programa'!H168</f>
        <v>0</v>
      </c>
      <c r="D13" s="884">
        <f>'2 programa'!I168</f>
        <v>0</v>
      </c>
      <c r="E13" s="884">
        <f>'2 programa'!J168</f>
        <v>0</v>
      </c>
    </row>
    <row r="14" spans="1:5">
      <c r="A14" s="885" t="s">
        <v>91</v>
      </c>
      <c r="B14" s="884">
        <v>425.2</v>
      </c>
      <c r="C14" s="884">
        <f>'2 programa'!H169</f>
        <v>482.1</v>
      </c>
      <c r="D14" s="884">
        <f>'2 programa'!I169</f>
        <v>484.99260000000004</v>
      </c>
      <c r="E14" s="884">
        <f>'2 programa'!J169</f>
        <v>487.90255560000003</v>
      </c>
    </row>
    <row r="15" spans="1:5">
      <c r="B15" s="886"/>
      <c r="C15" s="886"/>
      <c r="D15" s="886"/>
      <c r="E15" s="886"/>
    </row>
  </sheetData>
  <phoneticPr fontId="6" type="noConversion"/>
  <pageMargins left="0.75" right="0.75" top="1" bottom="1" header="0" footer="0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5"/>
  <sheetViews>
    <sheetView workbookViewId="0">
      <selection activeCell="J10" sqref="J10"/>
    </sheetView>
  </sheetViews>
  <sheetFormatPr defaultColWidth="8.85546875" defaultRowHeight="12.75"/>
  <cols>
    <col min="1" max="1" width="22.85546875" style="882" customWidth="1"/>
    <col min="2" max="2" width="11.140625" style="882" customWidth="1"/>
    <col min="3" max="3" width="14.28515625" style="882" customWidth="1"/>
    <col min="4" max="5" width="11.140625" style="882" customWidth="1"/>
    <col min="6" max="16384" width="8.85546875" style="882"/>
  </cols>
  <sheetData>
    <row r="1" spans="1:5" ht="38.25" customHeight="1">
      <c r="A1" s="880"/>
      <c r="B1" s="880" t="s">
        <v>442</v>
      </c>
      <c r="C1" s="881" t="s">
        <v>443</v>
      </c>
      <c r="D1" s="880" t="s">
        <v>389</v>
      </c>
      <c r="E1" s="880" t="s">
        <v>444</v>
      </c>
    </row>
    <row r="2" spans="1:5" ht="12.75" customHeight="1">
      <c r="A2" s="883" t="s">
        <v>31</v>
      </c>
      <c r="B2" s="884">
        <v>391.4</v>
      </c>
      <c r="C2" s="884">
        <f>'3 programa'!H44</f>
        <v>947</v>
      </c>
      <c r="D2" s="884">
        <f>'3 programa'!I44</f>
        <v>526.2192</v>
      </c>
      <c r="E2" s="884">
        <f>'3 programa'!J44</f>
        <v>562.53340239999989</v>
      </c>
    </row>
    <row r="3" spans="1:5">
      <c r="A3" s="881" t="s">
        <v>32</v>
      </c>
      <c r="B3" s="884">
        <f>SUM(B4:B14)</f>
        <v>391.4</v>
      </c>
      <c r="C3" s="884">
        <f>SUM(C4:C14)</f>
        <v>947</v>
      </c>
      <c r="D3" s="884">
        <f>SUM(D4:D14)</f>
        <v>526.21919999999989</v>
      </c>
      <c r="E3" s="884">
        <f>SUM(E4:E14)</f>
        <v>562.53340239999989</v>
      </c>
    </row>
    <row r="4" spans="1:5" ht="13.5" customHeight="1">
      <c r="A4" s="885" t="s">
        <v>81</v>
      </c>
      <c r="B4" s="884">
        <v>116.2</v>
      </c>
      <c r="C4" s="884">
        <f>'3 programa'!H46</f>
        <v>184.90000000000003</v>
      </c>
      <c r="D4" s="884">
        <f>'3 programa'!I46</f>
        <v>130.22840000000002</v>
      </c>
      <c r="E4" s="884">
        <f>'3 programa'!J46</f>
        <v>133.46117040000001</v>
      </c>
    </row>
    <row r="5" spans="1:5" ht="22.5">
      <c r="A5" s="885" t="s">
        <v>82</v>
      </c>
      <c r="B5" s="884">
        <v>110.5</v>
      </c>
      <c r="C5" s="884">
        <f>'3 programa'!H47</f>
        <v>278.50000000000006</v>
      </c>
      <c r="D5" s="884">
        <f>'3 programa'!I47</f>
        <v>280.17099999999994</v>
      </c>
      <c r="E5" s="884">
        <f>'3 programa'!J47</f>
        <v>281.73251319999991</v>
      </c>
    </row>
    <row r="6" spans="1:5" ht="22.5">
      <c r="A6" s="885" t="s">
        <v>83</v>
      </c>
      <c r="B6" s="884">
        <v>59.4</v>
      </c>
      <c r="C6" s="884">
        <f>'3 programa'!H48</f>
        <v>396.7</v>
      </c>
      <c r="D6" s="884">
        <f>'3 programa'!I48</f>
        <v>30.9</v>
      </c>
      <c r="E6" s="884">
        <f>'3 programa'!J48</f>
        <v>59.9</v>
      </c>
    </row>
    <row r="7" spans="1:5" ht="22.5">
      <c r="A7" s="885" t="s">
        <v>84</v>
      </c>
      <c r="B7" s="884">
        <v>92.7</v>
      </c>
      <c r="C7" s="884">
        <f>'3 programa'!H49</f>
        <v>78.8</v>
      </c>
      <c r="D7" s="884">
        <f>'3 programa'!I49</f>
        <v>78.8</v>
      </c>
      <c r="E7" s="884">
        <f>'3 programa'!J49</f>
        <v>78.8</v>
      </c>
    </row>
    <row r="8" spans="1:5" ht="22.5">
      <c r="A8" s="885" t="s">
        <v>85</v>
      </c>
      <c r="B8" s="884">
        <v>0</v>
      </c>
      <c r="C8" s="884">
        <f>'3 programa'!H50</f>
        <v>0</v>
      </c>
      <c r="D8" s="884">
        <f>'3 programa'!I50</f>
        <v>0</v>
      </c>
      <c r="E8" s="884">
        <f>'3 programa'!J50</f>
        <v>0</v>
      </c>
    </row>
    <row r="9" spans="1:5" ht="15" customHeight="1">
      <c r="A9" s="885" t="s">
        <v>86</v>
      </c>
      <c r="B9" s="884">
        <v>0</v>
      </c>
      <c r="C9" s="884">
        <f>'3 programa'!H51</f>
        <v>0</v>
      </c>
      <c r="D9" s="884">
        <f>'3 programa'!I51</f>
        <v>0</v>
      </c>
      <c r="E9" s="884">
        <f>'3 programa'!J51</f>
        <v>0</v>
      </c>
    </row>
    <row r="10" spans="1:5" ht="22.5">
      <c r="A10" s="885" t="s">
        <v>87</v>
      </c>
      <c r="B10" s="884">
        <v>10.6</v>
      </c>
      <c r="C10" s="884">
        <f>'3 programa'!H52</f>
        <v>4.8</v>
      </c>
      <c r="D10" s="884">
        <f>'3 programa'!I52</f>
        <v>2.8</v>
      </c>
      <c r="E10" s="884">
        <f>'3 programa'!J52</f>
        <v>5.3</v>
      </c>
    </row>
    <row r="11" spans="1:5">
      <c r="A11" s="885" t="s">
        <v>88</v>
      </c>
      <c r="B11" s="884">
        <v>0</v>
      </c>
      <c r="C11" s="884">
        <f>'3 programa'!H53</f>
        <v>0</v>
      </c>
      <c r="D11" s="884">
        <f>'3 programa'!I53</f>
        <v>0</v>
      </c>
      <c r="E11" s="884">
        <f>'3 programa'!J53</f>
        <v>0</v>
      </c>
    </row>
    <row r="12" spans="1:5">
      <c r="A12" s="885" t="s">
        <v>89</v>
      </c>
      <c r="B12" s="884">
        <v>0</v>
      </c>
      <c r="C12" s="884">
        <f>'3 programa'!H54</f>
        <v>0</v>
      </c>
      <c r="D12" s="884">
        <f>'3 programa'!I54</f>
        <v>0</v>
      </c>
      <c r="E12" s="884">
        <f>'3 programa'!J54</f>
        <v>0</v>
      </c>
    </row>
    <row r="13" spans="1:5">
      <c r="A13" s="885" t="s">
        <v>90</v>
      </c>
      <c r="B13" s="884">
        <v>0</v>
      </c>
      <c r="C13" s="884">
        <f>'3 programa'!H55</f>
        <v>0</v>
      </c>
      <c r="D13" s="884">
        <f>'3 programa'!I55</f>
        <v>0</v>
      </c>
      <c r="E13" s="884">
        <f>'3 programa'!J55</f>
        <v>0</v>
      </c>
    </row>
    <row r="14" spans="1:5" ht="15" customHeight="1">
      <c r="A14" s="885" t="s">
        <v>91</v>
      </c>
      <c r="B14" s="884">
        <v>2</v>
      </c>
      <c r="C14" s="884">
        <f>'3 programa'!H56</f>
        <v>3.3</v>
      </c>
      <c r="D14" s="884">
        <f>'3 programa'!I56</f>
        <v>3.3197999999999999</v>
      </c>
      <c r="E14" s="884">
        <f>'3 programa'!J56</f>
        <v>3.3397188</v>
      </c>
    </row>
    <row r="15" spans="1:5">
      <c r="B15" s="886"/>
      <c r="C15" s="886"/>
      <c r="D15" s="886"/>
      <c r="E15" s="886"/>
    </row>
  </sheetData>
  <phoneticPr fontId="6" type="noConversion"/>
  <pageMargins left="0.75" right="0.75" top="1" bottom="1" header="0" footer="0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4"/>
  <sheetViews>
    <sheetView workbookViewId="0">
      <selection activeCell="J14" sqref="J14"/>
    </sheetView>
  </sheetViews>
  <sheetFormatPr defaultColWidth="8.85546875" defaultRowHeight="12.75"/>
  <cols>
    <col min="1" max="1" width="22.28515625" style="882" customWidth="1"/>
    <col min="2" max="5" width="12.140625" style="882" customWidth="1"/>
    <col min="6" max="16384" width="8.85546875" style="882"/>
  </cols>
  <sheetData>
    <row r="1" spans="1:5" ht="38.25">
      <c r="A1" s="880"/>
      <c r="B1" s="880" t="s">
        <v>442</v>
      </c>
      <c r="C1" s="881" t="s">
        <v>443</v>
      </c>
      <c r="D1" s="880" t="s">
        <v>389</v>
      </c>
      <c r="E1" s="880" t="s">
        <v>444</v>
      </c>
    </row>
    <row r="2" spans="1:5">
      <c r="A2" s="883" t="s">
        <v>31</v>
      </c>
      <c r="B2" s="884">
        <v>1446</v>
      </c>
      <c r="C2" s="884">
        <f>'4 programa'!H34</f>
        <v>687.1</v>
      </c>
      <c r="D2" s="884">
        <f>'4 programa'!I34</f>
        <v>717.6</v>
      </c>
      <c r="E2" s="884">
        <f>'4 programa'!J34</f>
        <v>777.6</v>
      </c>
    </row>
    <row r="3" spans="1:5" ht="13.5" customHeight="1">
      <c r="A3" s="881" t="s">
        <v>32</v>
      </c>
      <c r="B3" s="884">
        <f>SUM(B4:B14)</f>
        <v>1446</v>
      </c>
      <c r="C3" s="884">
        <f>SUM(C4:C14)</f>
        <v>687.1</v>
      </c>
      <c r="D3" s="884">
        <f>SUM(D4:D14)</f>
        <v>717.6</v>
      </c>
      <c r="E3" s="884">
        <f>SUM(E4:E14)</f>
        <v>777.6</v>
      </c>
    </row>
    <row r="4" spans="1:5">
      <c r="A4" s="885" t="s">
        <v>81</v>
      </c>
      <c r="B4" s="884">
        <v>1158.5999999999999</v>
      </c>
      <c r="C4" s="884">
        <f>'4 programa'!H36</f>
        <v>542.5</v>
      </c>
      <c r="D4" s="884">
        <f>'4 programa'!I36</f>
        <v>573</v>
      </c>
      <c r="E4" s="884">
        <f>'4 programa'!J36</f>
        <v>633</v>
      </c>
    </row>
    <row r="5" spans="1:5" ht="25.5" customHeight="1">
      <c r="A5" s="885" t="s">
        <v>82</v>
      </c>
      <c r="B5" s="884">
        <v>152.9</v>
      </c>
      <c r="C5" s="884">
        <f>'4 programa'!H37</f>
        <v>134.6</v>
      </c>
      <c r="D5" s="884">
        <f>'4 programa'!I37</f>
        <v>134.6</v>
      </c>
      <c r="E5" s="884">
        <f>'4 programa'!J37</f>
        <v>134.6</v>
      </c>
    </row>
    <row r="6" spans="1:5" ht="22.5">
      <c r="A6" s="885" t="s">
        <v>83</v>
      </c>
      <c r="B6" s="884">
        <v>60</v>
      </c>
      <c r="C6" s="884">
        <f>'4 programa'!H38</f>
        <v>0</v>
      </c>
      <c r="D6" s="884">
        <f>'4 programa'!I38</f>
        <v>0</v>
      </c>
      <c r="E6" s="884">
        <f>'4 programa'!J38</f>
        <v>0</v>
      </c>
    </row>
    <row r="7" spans="1:5" ht="22.5">
      <c r="A7" s="885" t="s">
        <v>84</v>
      </c>
      <c r="B7" s="884">
        <v>0</v>
      </c>
      <c r="C7" s="884">
        <f>'4 programa'!H39</f>
        <v>0</v>
      </c>
      <c r="D7" s="884">
        <f>'4 programa'!I39</f>
        <v>0</v>
      </c>
      <c r="E7" s="884">
        <f>'4 programa'!J39</f>
        <v>0</v>
      </c>
    </row>
    <row r="8" spans="1:5" ht="22.5">
      <c r="A8" s="885" t="s">
        <v>85</v>
      </c>
      <c r="B8" s="884">
        <v>0</v>
      </c>
      <c r="C8" s="884">
        <f>'4 programa'!H40</f>
        <v>0</v>
      </c>
      <c r="D8" s="884">
        <f>'4 programa'!I40</f>
        <v>0</v>
      </c>
      <c r="E8" s="884">
        <f>'4 programa'!J40</f>
        <v>0</v>
      </c>
    </row>
    <row r="9" spans="1:5" ht="15" customHeight="1">
      <c r="A9" s="885" t="s">
        <v>86</v>
      </c>
      <c r="B9" s="884">
        <v>64.5</v>
      </c>
      <c r="C9" s="884">
        <f>'4 programa'!H41</f>
        <v>0</v>
      </c>
      <c r="D9" s="884">
        <f>'4 programa'!I41</f>
        <v>0</v>
      </c>
      <c r="E9" s="884">
        <f>'4 programa'!J41</f>
        <v>0</v>
      </c>
    </row>
    <row r="10" spans="1:5" ht="22.5">
      <c r="A10" s="885" t="s">
        <v>87</v>
      </c>
      <c r="B10" s="884">
        <v>0</v>
      </c>
      <c r="C10" s="884">
        <f>'4 programa'!H42</f>
        <v>0</v>
      </c>
      <c r="D10" s="884">
        <f>'4 programa'!I42</f>
        <v>0</v>
      </c>
      <c r="E10" s="884">
        <f>'4 programa'!J42</f>
        <v>0</v>
      </c>
    </row>
    <row r="11" spans="1:5" ht="15" customHeight="1">
      <c r="A11" s="885" t="s">
        <v>88</v>
      </c>
      <c r="B11" s="884">
        <v>0</v>
      </c>
      <c r="C11" s="884">
        <f>'4 programa'!H43</f>
        <v>0</v>
      </c>
      <c r="D11" s="884">
        <f>'4 programa'!I43</f>
        <v>0</v>
      </c>
      <c r="E11" s="884">
        <f>'4 programa'!J43</f>
        <v>0</v>
      </c>
    </row>
    <row r="12" spans="1:5" ht="14.25" customHeight="1">
      <c r="A12" s="885" t="s">
        <v>89</v>
      </c>
      <c r="B12" s="884">
        <v>0</v>
      </c>
      <c r="C12" s="884">
        <f>'4 programa'!H44</f>
        <v>0</v>
      </c>
      <c r="D12" s="884">
        <f>'4 programa'!I44</f>
        <v>0</v>
      </c>
      <c r="E12" s="884">
        <f>'4 programa'!J44</f>
        <v>0</v>
      </c>
    </row>
    <row r="13" spans="1:5">
      <c r="A13" s="885" t="s">
        <v>90</v>
      </c>
      <c r="B13" s="884">
        <v>10</v>
      </c>
      <c r="C13" s="884">
        <f>'4 programa'!H45</f>
        <v>10</v>
      </c>
      <c r="D13" s="884">
        <f>'4 programa'!I45</f>
        <v>10</v>
      </c>
      <c r="E13" s="884">
        <f>'4 programa'!J45</f>
        <v>10</v>
      </c>
    </row>
    <row r="14" spans="1:5" ht="22.5">
      <c r="A14" s="885" t="s">
        <v>91</v>
      </c>
      <c r="B14" s="884">
        <v>0</v>
      </c>
      <c r="C14" s="884">
        <f>'4 programa'!H46</f>
        <v>0</v>
      </c>
      <c r="D14" s="884">
        <f>'4 programa'!I46</f>
        <v>0</v>
      </c>
      <c r="E14" s="884">
        <f>'4 programa'!J46</f>
        <v>0</v>
      </c>
    </row>
  </sheetData>
  <phoneticPr fontId="6" type="noConversion"/>
  <pageMargins left="0.75" right="0.75" top="1" bottom="1" header="0" footer="0"/>
  <pageSetup paperSize="9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"/>
  <sheetViews>
    <sheetView workbookViewId="0">
      <selection activeCell="M11" sqref="M11"/>
    </sheetView>
  </sheetViews>
  <sheetFormatPr defaultColWidth="8.85546875" defaultRowHeight="12.75"/>
  <cols>
    <col min="1" max="1" width="21" style="882" customWidth="1"/>
    <col min="2" max="2" width="10.7109375" style="882" customWidth="1"/>
    <col min="3" max="3" width="13.28515625" style="882" customWidth="1"/>
    <col min="4" max="5" width="10.7109375" style="882" customWidth="1"/>
    <col min="6" max="16384" width="8.85546875" style="882"/>
  </cols>
  <sheetData>
    <row r="1" spans="1:5" ht="51.75" customHeight="1">
      <c r="A1" s="880"/>
      <c r="B1" s="880" t="s">
        <v>442</v>
      </c>
      <c r="C1" s="881" t="s">
        <v>443</v>
      </c>
      <c r="D1" s="880" t="s">
        <v>389</v>
      </c>
      <c r="E1" s="880" t="s">
        <v>444</v>
      </c>
    </row>
    <row r="2" spans="1:5" ht="15" customHeight="1">
      <c r="A2" s="883" t="s">
        <v>31</v>
      </c>
      <c r="B2" s="884">
        <v>1925</v>
      </c>
      <c r="C2" s="884">
        <f>'5 programa'!H40</f>
        <v>481</v>
      </c>
      <c r="D2" s="884">
        <f>'5 programa'!I40</f>
        <v>455.68600000000004</v>
      </c>
      <c r="E2" s="884">
        <f>'5 programa'!J40</f>
        <v>284.382116</v>
      </c>
    </row>
    <row r="3" spans="1:5" ht="15" customHeight="1">
      <c r="A3" s="881" t="s">
        <v>32</v>
      </c>
      <c r="B3" s="884">
        <f>SUM(B4:B14)</f>
        <v>1925</v>
      </c>
      <c r="C3" s="884">
        <f>SUM(C4:C14)</f>
        <v>481</v>
      </c>
      <c r="D3" s="884">
        <f>SUM(D4:D14)</f>
        <v>455.68600000000004</v>
      </c>
      <c r="E3" s="884">
        <f>SUM(E4:E14)</f>
        <v>284.382116</v>
      </c>
    </row>
    <row r="4" spans="1:5">
      <c r="A4" s="885" t="s">
        <v>81</v>
      </c>
      <c r="B4" s="884">
        <v>500.8</v>
      </c>
      <c r="C4" s="884">
        <f>'5 programa'!H42</f>
        <v>199</v>
      </c>
      <c r="D4" s="884">
        <f>'5 programa'!I42</f>
        <v>199.88200000000001</v>
      </c>
      <c r="E4" s="884">
        <f>'5 programa'!J42</f>
        <v>148.76929200000001</v>
      </c>
    </row>
    <row r="5" spans="1:5" ht="22.5">
      <c r="A5" s="885" t="s">
        <v>82</v>
      </c>
      <c r="B5" s="884">
        <v>134</v>
      </c>
      <c r="C5" s="884">
        <f>'5 programa'!H43</f>
        <v>134</v>
      </c>
      <c r="D5" s="884">
        <f>'5 programa'!I43</f>
        <v>134.804</v>
      </c>
      <c r="E5" s="884">
        <f>'5 programa'!J43</f>
        <v>135.61282399999999</v>
      </c>
    </row>
    <row r="6" spans="1:5" ht="22.5">
      <c r="A6" s="885" t="s">
        <v>83</v>
      </c>
      <c r="B6" s="884">
        <v>1290.2</v>
      </c>
      <c r="C6" s="884">
        <f>'5 programa'!H44</f>
        <v>148</v>
      </c>
      <c r="D6" s="884">
        <f>'5 programa'!I44</f>
        <v>121</v>
      </c>
      <c r="E6" s="884">
        <f>'5 programa'!J44</f>
        <v>0</v>
      </c>
    </row>
    <row r="7" spans="1:5" ht="22.5">
      <c r="A7" s="885" t="s">
        <v>84</v>
      </c>
      <c r="B7" s="884">
        <v>0</v>
      </c>
      <c r="C7" s="884">
        <f>'5 programa'!H45</f>
        <v>0</v>
      </c>
      <c r="D7" s="884">
        <f>'5 programa'!I45</f>
        <v>0</v>
      </c>
      <c r="E7" s="884">
        <f>'5 programa'!J45</f>
        <v>0</v>
      </c>
    </row>
    <row r="8" spans="1:5" ht="22.5">
      <c r="A8" s="885" t="s">
        <v>85</v>
      </c>
      <c r="B8" s="884">
        <v>0</v>
      </c>
      <c r="C8" s="884">
        <f>'5 programa'!H46</f>
        <v>0</v>
      </c>
      <c r="D8" s="884">
        <f>'5 programa'!I46</f>
        <v>0</v>
      </c>
      <c r="E8" s="884">
        <f>'5 programa'!J46</f>
        <v>0</v>
      </c>
    </row>
    <row r="9" spans="1:5" ht="15" customHeight="1">
      <c r="A9" s="885" t="s">
        <v>86</v>
      </c>
      <c r="B9" s="884">
        <v>0</v>
      </c>
      <c r="C9" s="884">
        <f>'5 programa'!H47</f>
        <v>0</v>
      </c>
      <c r="D9" s="884">
        <f>'5 programa'!I47</f>
        <v>0</v>
      </c>
      <c r="E9" s="884">
        <f>'5 programa'!J47</f>
        <v>0</v>
      </c>
    </row>
    <row r="10" spans="1:5" ht="22.5">
      <c r="A10" s="885" t="s">
        <v>87</v>
      </c>
      <c r="B10" s="884">
        <v>0</v>
      </c>
      <c r="C10" s="884">
        <f>'5 programa'!H48</f>
        <v>0</v>
      </c>
      <c r="D10" s="884">
        <f>'5 programa'!I48</f>
        <v>0</v>
      </c>
      <c r="E10" s="884">
        <f>'5 programa'!J48</f>
        <v>0</v>
      </c>
    </row>
    <row r="11" spans="1:5" ht="14.25" customHeight="1">
      <c r="A11" s="885" t="s">
        <v>88</v>
      </c>
      <c r="B11" s="884">
        <v>0</v>
      </c>
      <c r="C11" s="884">
        <f>'5 programa'!H49</f>
        <v>0</v>
      </c>
      <c r="D11" s="884">
        <f>'5 programa'!I49</f>
        <v>0</v>
      </c>
      <c r="E11" s="884">
        <f>'5 programa'!J49</f>
        <v>0</v>
      </c>
    </row>
    <row r="12" spans="1:5" ht="14.25" customHeight="1">
      <c r="A12" s="885" t="s">
        <v>89</v>
      </c>
      <c r="B12" s="884">
        <v>0</v>
      </c>
      <c r="C12" s="884">
        <f>'5 programa'!H50</f>
        <v>0</v>
      </c>
      <c r="D12" s="884">
        <f>'5 programa'!I50</f>
        <v>0</v>
      </c>
      <c r="E12" s="884">
        <f>'5 programa'!J50</f>
        <v>0</v>
      </c>
    </row>
    <row r="13" spans="1:5" ht="14.25" customHeight="1">
      <c r="A13" s="885" t="s">
        <v>90</v>
      </c>
      <c r="B13" s="884">
        <v>0</v>
      </c>
      <c r="C13" s="884">
        <f>'5 programa'!H51</f>
        <v>0</v>
      </c>
      <c r="D13" s="884">
        <f>'5 programa'!I51</f>
        <v>0</v>
      </c>
      <c r="E13" s="884">
        <f>'5 programa'!J51</f>
        <v>0</v>
      </c>
    </row>
    <row r="14" spans="1:5" ht="22.5">
      <c r="A14" s="885" t="s">
        <v>91</v>
      </c>
      <c r="B14" s="884">
        <v>0</v>
      </c>
      <c r="C14" s="884">
        <f>'5 programa'!H52</f>
        <v>0</v>
      </c>
      <c r="D14" s="884">
        <f>'5 programa'!I52</f>
        <v>0</v>
      </c>
      <c r="E14" s="884">
        <f>'5 programa'!J52</f>
        <v>0</v>
      </c>
    </row>
    <row r="15" spans="1:5">
      <c r="B15" s="886"/>
      <c r="C15" s="886"/>
      <c r="D15" s="886"/>
      <c r="E15" s="886"/>
    </row>
  </sheetData>
  <phoneticPr fontId="6" type="noConversion"/>
  <pageMargins left="0.75" right="0.75" top="1" bottom="1" header="0" footer="0"/>
  <pageSetup paperSize="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5"/>
  <sheetViews>
    <sheetView workbookViewId="0">
      <selection activeCell="H5" sqref="H5"/>
    </sheetView>
  </sheetViews>
  <sheetFormatPr defaultColWidth="8.85546875" defaultRowHeight="12.75"/>
  <cols>
    <col min="1" max="1" width="20.28515625" style="882" customWidth="1"/>
    <col min="2" max="2" width="10.7109375" style="882" customWidth="1"/>
    <col min="3" max="3" width="12" style="882" customWidth="1"/>
    <col min="4" max="5" width="10.7109375" style="882" customWidth="1"/>
    <col min="6" max="16384" width="8.85546875" style="882"/>
  </cols>
  <sheetData>
    <row r="1" spans="1:7" ht="49.5" customHeight="1">
      <c r="A1" s="880"/>
      <c r="B1" s="880" t="s">
        <v>442</v>
      </c>
      <c r="C1" s="881" t="s">
        <v>443</v>
      </c>
      <c r="D1" s="880" t="s">
        <v>389</v>
      </c>
      <c r="E1" s="880" t="s">
        <v>444</v>
      </c>
    </row>
    <row r="2" spans="1:7" ht="12.75" customHeight="1">
      <c r="A2" s="883" t="s">
        <v>31</v>
      </c>
      <c r="B2" s="884">
        <v>2746.2</v>
      </c>
      <c r="C2" s="884">
        <f>'6 programa'!H65</f>
        <v>2001.8</v>
      </c>
      <c r="D2" s="884">
        <f>'6 programa'!I65</f>
        <v>1006.8856000000001</v>
      </c>
      <c r="E2" s="884">
        <f>'6 programa'!J65</f>
        <v>1043.3333416</v>
      </c>
    </row>
    <row r="3" spans="1:7" ht="14.25" customHeight="1">
      <c r="A3" s="881" t="s">
        <v>32</v>
      </c>
      <c r="B3" s="884">
        <f>SUM(B4:B14)</f>
        <v>2746.2000000000003</v>
      </c>
      <c r="C3" s="884">
        <f>SUM(C4:C14)</f>
        <v>2001.8000000000002</v>
      </c>
      <c r="D3" s="884">
        <f>SUM(D4:D14)</f>
        <v>1006.8856000000001</v>
      </c>
      <c r="E3" s="884">
        <f>SUM(E4:E14)</f>
        <v>1043.3333416</v>
      </c>
    </row>
    <row r="4" spans="1:7" ht="14.25" customHeight="1">
      <c r="A4" s="885" t="s">
        <v>81</v>
      </c>
      <c r="B4" s="884">
        <v>147.5</v>
      </c>
      <c r="C4" s="884">
        <f>'6 programa'!H67</f>
        <v>159.4</v>
      </c>
      <c r="D4" s="884">
        <f>'6 programa'!I67</f>
        <v>66.710800000000006</v>
      </c>
      <c r="E4" s="884">
        <f>'6 programa'!J67</f>
        <v>67.364264800000001</v>
      </c>
    </row>
    <row r="5" spans="1:7" ht="24.75" customHeight="1">
      <c r="A5" s="885" t="s">
        <v>82</v>
      </c>
      <c r="B5" s="884">
        <v>498.9</v>
      </c>
      <c r="C5" s="884">
        <f>'6 programa'!H68</f>
        <v>752.7</v>
      </c>
      <c r="D5" s="884">
        <f>'6 programa'!I68</f>
        <v>561.48200000000008</v>
      </c>
      <c r="E5" s="884">
        <f>'6 programa'!J68</f>
        <v>595.17092000000014</v>
      </c>
      <c r="G5" s="886"/>
    </row>
    <row r="6" spans="1:7" ht="22.5">
      <c r="A6" s="885" t="s">
        <v>83</v>
      </c>
      <c r="B6" s="884">
        <v>1638</v>
      </c>
      <c r="C6" s="884">
        <f>'6 programa'!H69</f>
        <v>693.1</v>
      </c>
      <c r="D6" s="884">
        <f>'6 programa'!I69</f>
        <v>0</v>
      </c>
      <c r="E6" s="884">
        <f>'6 programa'!J69</f>
        <v>0</v>
      </c>
    </row>
    <row r="7" spans="1:7" ht="22.5">
      <c r="A7" s="885" t="s">
        <v>84</v>
      </c>
      <c r="B7" s="884">
        <v>460.8</v>
      </c>
      <c r="C7" s="884">
        <f>'6 programa'!H70</f>
        <v>396.6</v>
      </c>
      <c r="D7" s="884">
        <f>'6 programa'!I70</f>
        <v>378.69279999999998</v>
      </c>
      <c r="E7" s="884">
        <f>'6 programa'!J70</f>
        <v>380.79815680000002</v>
      </c>
    </row>
    <row r="8" spans="1:7" ht="22.5">
      <c r="A8" s="885" t="s">
        <v>85</v>
      </c>
      <c r="B8" s="884">
        <v>0</v>
      </c>
      <c r="C8" s="884">
        <f>'6 programa'!H71</f>
        <v>0</v>
      </c>
      <c r="D8" s="884">
        <f>'6 programa'!I71</f>
        <v>0</v>
      </c>
      <c r="E8" s="884">
        <f>'6 programa'!J71</f>
        <v>0</v>
      </c>
    </row>
    <row r="9" spans="1:7" ht="13.5" customHeight="1">
      <c r="A9" s="885" t="s">
        <v>86</v>
      </c>
      <c r="B9" s="884">
        <v>0</v>
      </c>
      <c r="C9" s="884">
        <f>'6 programa'!H72</f>
        <v>0</v>
      </c>
      <c r="D9" s="884">
        <f>'6 programa'!I72</f>
        <v>0</v>
      </c>
      <c r="E9" s="884">
        <f>'6 programa'!J72</f>
        <v>0</v>
      </c>
    </row>
    <row r="10" spans="1:7" ht="22.5">
      <c r="A10" s="885" t="s">
        <v>87</v>
      </c>
      <c r="B10" s="884">
        <v>1</v>
      </c>
      <c r="C10" s="884">
        <f>'6 programa'!H73</f>
        <v>0</v>
      </c>
      <c r="D10" s="884">
        <f>'6 programa'!I73</f>
        <v>0</v>
      </c>
      <c r="E10" s="884">
        <f>'6 programa'!J73</f>
        <v>0</v>
      </c>
    </row>
    <row r="11" spans="1:7" ht="15" customHeight="1">
      <c r="A11" s="885" t="s">
        <v>88</v>
      </c>
      <c r="B11" s="884">
        <v>0</v>
      </c>
      <c r="C11" s="884">
        <f>'6 programa'!H74</f>
        <v>0</v>
      </c>
      <c r="D11" s="884">
        <f>'6 programa'!I74</f>
        <v>0</v>
      </c>
      <c r="E11" s="884">
        <f>'6 programa'!J74</f>
        <v>0</v>
      </c>
    </row>
    <row r="12" spans="1:7" ht="14.25" customHeight="1">
      <c r="A12" s="885" t="s">
        <v>89</v>
      </c>
      <c r="B12" s="884">
        <v>0</v>
      </c>
      <c r="C12" s="884">
        <f>'6 programa'!H75</f>
        <v>0</v>
      </c>
      <c r="D12" s="884">
        <f>'6 programa'!I75</f>
        <v>0</v>
      </c>
      <c r="E12" s="884">
        <f>'6 programa'!J75</f>
        <v>0</v>
      </c>
    </row>
    <row r="13" spans="1:7">
      <c r="A13" s="885" t="s">
        <v>90</v>
      </c>
      <c r="B13" s="884">
        <v>0</v>
      </c>
      <c r="C13" s="884">
        <f>'6 programa'!H76</f>
        <v>0</v>
      </c>
      <c r="D13" s="884">
        <f>'6 programa'!I76</f>
        <v>0</v>
      </c>
      <c r="E13" s="884">
        <f>'6 programa'!J76</f>
        <v>0</v>
      </c>
    </row>
    <row r="14" spans="1:7" ht="22.5">
      <c r="A14" s="885" t="s">
        <v>91</v>
      </c>
      <c r="B14" s="884">
        <v>0</v>
      </c>
      <c r="C14" s="884">
        <f>'6 programa'!H77</f>
        <v>0</v>
      </c>
      <c r="D14" s="884">
        <f>'6 programa'!I77</f>
        <v>0</v>
      </c>
      <c r="E14" s="884">
        <f>'6 programa'!J77</f>
        <v>0</v>
      </c>
    </row>
    <row r="15" spans="1:7">
      <c r="B15" s="886"/>
      <c r="C15" s="886"/>
      <c r="D15" s="886"/>
      <c r="E15" s="886"/>
    </row>
  </sheetData>
  <phoneticPr fontId="6" type="noConversion"/>
  <pageMargins left="0.75" right="0.75" top="1" bottom="1" header="0" footer="0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6"/>
  <sheetViews>
    <sheetView workbookViewId="0">
      <selection activeCell="L9" sqref="L9"/>
    </sheetView>
  </sheetViews>
  <sheetFormatPr defaultColWidth="8.85546875" defaultRowHeight="12.75"/>
  <cols>
    <col min="1" max="1" width="21.5703125" style="882" customWidth="1"/>
    <col min="2" max="5" width="10.7109375" style="882" customWidth="1"/>
    <col min="6" max="16384" width="8.85546875" style="882"/>
  </cols>
  <sheetData>
    <row r="1" spans="1:5" ht="51" customHeight="1">
      <c r="A1" s="880"/>
      <c r="B1" s="880" t="s">
        <v>442</v>
      </c>
      <c r="C1" s="881" t="s">
        <v>443</v>
      </c>
      <c r="D1" s="880" t="s">
        <v>389</v>
      </c>
      <c r="E1" s="880" t="s">
        <v>444</v>
      </c>
    </row>
    <row r="2" spans="1:5" ht="12.75" customHeight="1">
      <c r="A2" s="883" t="s">
        <v>31</v>
      </c>
      <c r="B2" s="884">
        <v>13916.9</v>
      </c>
      <c r="C2" s="884">
        <f>'7 programa'!H275</f>
        <v>13011.1</v>
      </c>
      <c r="D2" s="884">
        <f>'7 programa'!I275</f>
        <v>7177.3243999999995</v>
      </c>
      <c r="E2" s="884">
        <f>'7 programa'!J275</f>
        <v>5823.2179864</v>
      </c>
    </row>
    <row r="3" spans="1:5">
      <c r="A3" s="881" t="s">
        <v>32</v>
      </c>
      <c r="B3" s="884">
        <f>SUM(B4:B14)</f>
        <v>13916.900000000001</v>
      </c>
      <c r="C3" s="884">
        <f>SUM(C4:C14)</f>
        <v>13011.099999999997</v>
      </c>
      <c r="D3" s="884">
        <f>SUM(D4:D14)</f>
        <v>7177.3243999999995</v>
      </c>
      <c r="E3" s="884">
        <f>SUM(E4:E14)</f>
        <v>5823.2179863999991</v>
      </c>
    </row>
    <row r="4" spans="1:5">
      <c r="A4" s="885" t="s">
        <v>81</v>
      </c>
      <c r="B4" s="236">
        <v>8334.1</v>
      </c>
      <c r="C4" s="884">
        <f>'7 programa'!H277</f>
        <v>6704.7999999999984</v>
      </c>
      <c r="D4" s="884">
        <f>'7 programa'!I277</f>
        <v>5126.8315999999995</v>
      </c>
      <c r="E4" s="884">
        <f>'7 programa'!J277</f>
        <v>3705.8473895999991</v>
      </c>
    </row>
    <row r="5" spans="1:5" ht="22.5">
      <c r="A5" s="885" t="s">
        <v>82</v>
      </c>
      <c r="B5" s="236">
        <v>0</v>
      </c>
      <c r="C5" s="884">
        <f>'7 programa'!H278</f>
        <v>0</v>
      </c>
      <c r="D5" s="884">
        <f>'7 programa'!I278</f>
        <v>0</v>
      </c>
      <c r="E5" s="884">
        <f>'7 programa'!J278</f>
        <v>0</v>
      </c>
    </row>
    <row r="6" spans="1:5" ht="22.5">
      <c r="A6" s="885" t="s">
        <v>83</v>
      </c>
      <c r="B6" s="236">
        <v>940.1</v>
      </c>
      <c r="C6" s="884">
        <f>'7 programa'!H279</f>
        <v>2821.8999999999996</v>
      </c>
      <c r="D6" s="884">
        <f>'7 programa'!I279</f>
        <v>440.5</v>
      </c>
      <c r="E6" s="884">
        <f>'7 programa'!J279</f>
        <v>382.4</v>
      </c>
    </row>
    <row r="7" spans="1:5" ht="22.5">
      <c r="A7" s="885" t="s">
        <v>84</v>
      </c>
      <c r="B7" s="236">
        <v>0</v>
      </c>
      <c r="C7" s="884">
        <f>'7 programa'!H280</f>
        <v>0</v>
      </c>
      <c r="D7" s="884">
        <f>'7 programa'!I280</f>
        <v>0</v>
      </c>
      <c r="E7" s="884">
        <f>'7 programa'!J280</f>
        <v>0</v>
      </c>
    </row>
    <row r="8" spans="1:5" ht="22.5">
      <c r="A8" s="885" t="s">
        <v>85</v>
      </c>
      <c r="B8" s="236">
        <v>2131.5</v>
      </c>
      <c r="C8" s="884">
        <f>'7 programa'!H281</f>
        <v>990.59999999999991</v>
      </c>
      <c r="D8" s="884">
        <f>'7 programa'!I281</f>
        <v>650.66</v>
      </c>
      <c r="E8" s="884">
        <f>'7 programa'!J281</f>
        <v>464.3</v>
      </c>
    </row>
    <row r="9" spans="1:5" ht="13.5" customHeight="1">
      <c r="A9" s="885" t="s">
        <v>86</v>
      </c>
      <c r="B9" s="236">
        <v>0</v>
      </c>
      <c r="C9" s="884">
        <f>'7 programa'!H282</f>
        <v>0</v>
      </c>
      <c r="D9" s="884">
        <f>'7 programa'!I282</f>
        <v>0</v>
      </c>
      <c r="E9" s="884">
        <f>'7 programa'!J282</f>
        <v>0</v>
      </c>
    </row>
    <row r="10" spans="1:5" ht="22.5">
      <c r="A10" s="885" t="s">
        <v>87</v>
      </c>
      <c r="B10" s="236">
        <v>2511.1999999999998</v>
      </c>
      <c r="C10" s="884">
        <f>'7 programa'!H283</f>
        <v>2293.6999999999998</v>
      </c>
      <c r="D10" s="884">
        <f>'7 programa'!I283</f>
        <v>751.5</v>
      </c>
      <c r="E10" s="884">
        <f>'7 programa'!J283</f>
        <v>1089</v>
      </c>
    </row>
    <row r="11" spans="1:5">
      <c r="A11" s="885" t="s">
        <v>88</v>
      </c>
      <c r="B11" s="236">
        <v>0</v>
      </c>
      <c r="C11" s="884">
        <f>'7 programa'!H284</f>
        <v>0</v>
      </c>
      <c r="D11" s="884">
        <f>'7 programa'!I284</f>
        <v>0</v>
      </c>
      <c r="E11" s="884">
        <f>'7 programa'!J284</f>
        <v>0</v>
      </c>
    </row>
    <row r="12" spans="1:5">
      <c r="A12" s="885" t="s">
        <v>89</v>
      </c>
      <c r="B12" s="236">
        <v>0</v>
      </c>
      <c r="C12" s="884">
        <f>'7 programa'!H285</f>
        <v>0</v>
      </c>
      <c r="D12" s="884">
        <f>'7 programa'!I285</f>
        <v>0</v>
      </c>
      <c r="E12" s="884">
        <f>'7 programa'!J285</f>
        <v>0</v>
      </c>
    </row>
    <row r="13" spans="1:5">
      <c r="A13" s="885" t="s">
        <v>90</v>
      </c>
      <c r="B13" s="236">
        <v>0</v>
      </c>
      <c r="C13" s="884">
        <f>'7 programa'!H286</f>
        <v>20</v>
      </c>
      <c r="D13" s="884">
        <f>'7 programa'!I286</f>
        <v>27</v>
      </c>
      <c r="E13" s="884">
        <f>'7 programa'!J286</f>
        <v>0</v>
      </c>
    </row>
    <row r="14" spans="1:5" ht="22.5">
      <c r="A14" s="885" t="s">
        <v>91</v>
      </c>
      <c r="B14" s="236">
        <v>0</v>
      </c>
      <c r="C14" s="884">
        <f>'7 programa'!H287</f>
        <v>180.10000000000002</v>
      </c>
      <c r="D14" s="884">
        <f>'7 programa'!I287</f>
        <v>180.83280000000002</v>
      </c>
      <c r="E14" s="884">
        <f>'7 programa'!J287</f>
        <v>181.6705968</v>
      </c>
    </row>
    <row r="15" spans="1:5" ht="15" customHeight="1">
      <c r="B15" s="886"/>
      <c r="C15" s="886"/>
      <c r="D15" s="886"/>
      <c r="E15" s="886"/>
    </row>
    <row r="16" spans="1:5" ht="15" customHeight="1">
      <c r="A16" s="887"/>
      <c r="B16" s="888"/>
      <c r="C16" s="888"/>
      <c r="D16" s="888"/>
      <c r="E16" s="888"/>
    </row>
  </sheetData>
  <phoneticPr fontId="6" type="noConversion"/>
  <pageMargins left="0.75" right="0.75" top="1" bottom="1" header="0" footer="0"/>
  <pageSetup paperSize="9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5"/>
  <sheetViews>
    <sheetView workbookViewId="0">
      <selection activeCell="L12" sqref="L12"/>
    </sheetView>
  </sheetViews>
  <sheetFormatPr defaultColWidth="8.85546875" defaultRowHeight="12.75"/>
  <cols>
    <col min="1" max="1" width="21.5703125" style="882" customWidth="1"/>
    <col min="2" max="5" width="10.7109375" style="882" customWidth="1"/>
    <col min="6" max="16384" width="8.85546875" style="882"/>
  </cols>
  <sheetData>
    <row r="1" spans="1:5" ht="50.25" customHeight="1">
      <c r="A1" s="880"/>
      <c r="B1" s="880" t="s">
        <v>442</v>
      </c>
      <c r="C1" s="881" t="s">
        <v>443</v>
      </c>
      <c r="D1" s="880" t="s">
        <v>389</v>
      </c>
      <c r="E1" s="880" t="s">
        <v>444</v>
      </c>
    </row>
    <row r="2" spans="1:5" ht="12.75" customHeight="1">
      <c r="A2" s="883" t="s">
        <v>31</v>
      </c>
      <c r="B2" s="884">
        <v>4703.1000000000004</v>
      </c>
      <c r="C2" s="884">
        <f>'8 programa'!H134</f>
        <v>5338.2999999999993</v>
      </c>
      <c r="D2" s="884">
        <f>'8 programa'!I134</f>
        <v>4422.93</v>
      </c>
      <c r="E2" s="884">
        <f>'8 programa'!J134</f>
        <v>4255.6005800000003</v>
      </c>
    </row>
    <row r="3" spans="1:5">
      <c r="A3" s="881" t="s">
        <v>32</v>
      </c>
      <c r="B3" s="884">
        <f>SUM(B4:B14)</f>
        <v>4703.1000000000004</v>
      </c>
      <c r="C3" s="884">
        <f>SUM(C4:C14)</f>
        <v>5338.2999999999993</v>
      </c>
      <c r="D3" s="884">
        <f>SUM(D4:D14)</f>
        <v>4422.93</v>
      </c>
      <c r="E3" s="884">
        <f>SUM(E4:E14)</f>
        <v>4255.6005800000003</v>
      </c>
    </row>
    <row r="4" spans="1:5">
      <c r="A4" s="885" t="s">
        <v>81</v>
      </c>
      <c r="B4" s="884">
        <v>3259.4</v>
      </c>
      <c r="C4" s="884">
        <f>'8 programa'!H136</f>
        <v>3840.4</v>
      </c>
      <c r="D4" s="884">
        <f>'8 programa'!I136</f>
        <v>3713.5137999999997</v>
      </c>
      <c r="E4" s="884">
        <f>'8 programa'!J136</f>
        <v>3705.8572827999997</v>
      </c>
    </row>
    <row r="5" spans="1:5" ht="22.5">
      <c r="A5" s="885" t="s">
        <v>82</v>
      </c>
      <c r="B5" s="884">
        <v>293.2</v>
      </c>
      <c r="C5" s="884">
        <f>'8 programa'!H137</f>
        <v>269</v>
      </c>
      <c r="D5" s="884">
        <f>'8 programa'!I137</f>
        <v>270.61400000000003</v>
      </c>
      <c r="E5" s="884">
        <f>'8 programa'!J137</f>
        <v>272.237684</v>
      </c>
    </row>
    <row r="6" spans="1:5" ht="22.5">
      <c r="A6" s="885" t="s">
        <v>83</v>
      </c>
      <c r="B6" s="884">
        <v>984</v>
      </c>
      <c r="C6" s="884">
        <f>'8 programa'!H138</f>
        <v>1195.2</v>
      </c>
      <c r="D6" s="884">
        <f>'8 programa'!I138</f>
        <v>404.9</v>
      </c>
      <c r="E6" s="884">
        <f>'8 programa'!J138</f>
        <v>243.4</v>
      </c>
    </row>
    <row r="7" spans="1:5" ht="22.5">
      <c r="A7" s="885" t="s">
        <v>84</v>
      </c>
      <c r="B7" s="884">
        <v>0</v>
      </c>
      <c r="C7" s="884">
        <f>'8 programa'!H139</f>
        <v>0</v>
      </c>
      <c r="D7" s="884">
        <f>'8 programa'!I139</f>
        <v>0</v>
      </c>
      <c r="E7" s="884">
        <f>'8 programa'!J139</f>
        <v>0</v>
      </c>
    </row>
    <row r="8" spans="1:5" ht="22.5">
      <c r="A8" s="885" t="s">
        <v>85</v>
      </c>
      <c r="B8" s="884">
        <v>0</v>
      </c>
      <c r="C8" s="884">
        <f>'8 programa'!H140</f>
        <v>0</v>
      </c>
      <c r="D8" s="884">
        <f>'8 programa'!I140</f>
        <v>0</v>
      </c>
      <c r="E8" s="884">
        <f>'8 programa'!J140</f>
        <v>0</v>
      </c>
    </row>
    <row r="9" spans="1:5" ht="12.75" customHeight="1">
      <c r="A9" s="885" t="s">
        <v>86</v>
      </c>
      <c r="B9" s="884">
        <v>0</v>
      </c>
      <c r="C9" s="884">
        <f>'8 programa'!H141</f>
        <v>0</v>
      </c>
      <c r="D9" s="884">
        <f>'8 programa'!I141</f>
        <v>0</v>
      </c>
      <c r="E9" s="884">
        <f>'8 programa'!J141</f>
        <v>0</v>
      </c>
    </row>
    <row r="10" spans="1:5" ht="22.5">
      <c r="A10" s="885" t="s">
        <v>87</v>
      </c>
      <c r="B10" s="884">
        <v>38</v>
      </c>
      <c r="C10" s="884">
        <f>'8 programa'!H142</f>
        <v>0</v>
      </c>
      <c r="D10" s="884">
        <f>'8 programa'!I142</f>
        <v>0</v>
      </c>
      <c r="E10" s="884">
        <f>'8 programa'!J142</f>
        <v>0</v>
      </c>
    </row>
    <row r="11" spans="1:5">
      <c r="A11" s="885" t="s">
        <v>88</v>
      </c>
      <c r="B11" s="884">
        <v>0</v>
      </c>
      <c r="C11" s="884">
        <f>'8 programa'!H143</f>
        <v>0</v>
      </c>
      <c r="D11" s="884">
        <f>'8 programa'!I143</f>
        <v>0</v>
      </c>
      <c r="E11" s="884">
        <f>'8 programa'!J143</f>
        <v>0</v>
      </c>
    </row>
    <row r="12" spans="1:5">
      <c r="A12" s="885" t="s">
        <v>89</v>
      </c>
      <c r="B12" s="884">
        <v>0</v>
      </c>
      <c r="C12" s="884">
        <f>'8 programa'!H144</f>
        <v>0</v>
      </c>
      <c r="D12" s="884">
        <f>'8 programa'!I144</f>
        <v>0</v>
      </c>
      <c r="E12" s="884">
        <f>'8 programa'!J144</f>
        <v>0</v>
      </c>
    </row>
    <row r="13" spans="1:5">
      <c r="A13" s="885" t="s">
        <v>90</v>
      </c>
      <c r="B13" s="884">
        <v>0</v>
      </c>
      <c r="C13" s="884">
        <f>'8 programa'!H145</f>
        <v>0</v>
      </c>
      <c r="D13" s="884">
        <f>'8 programa'!I145</f>
        <v>0</v>
      </c>
      <c r="E13" s="884">
        <f>'8 programa'!J145</f>
        <v>0</v>
      </c>
    </row>
    <row r="14" spans="1:5" ht="22.5">
      <c r="A14" s="885" t="s">
        <v>91</v>
      </c>
      <c r="B14" s="884">
        <v>128.5</v>
      </c>
      <c r="C14" s="884">
        <f>'8 programa'!H146</f>
        <v>33.700000000000003</v>
      </c>
      <c r="D14" s="884">
        <f>'8 programa'!I146</f>
        <v>33.902200000000001</v>
      </c>
      <c r="E14" s="884">
        <f>'8 programa'!J146</f>
        <v>34.105613200000001</v>
      </c>
    </row>
    <row r="15" spans="1:5">
      <c r="B15" s="886"/>
      <c r="C15" s="886"/>
      <c r="D15" s="886"/>
      <c r="E15" s="886"/>
    </row>
  </sheetData>
  <phoneticPr fontId="6" type="noConversion"/>
  <pageMargins left="0.75" right="0.75" top="1" bottom="1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76"/>
  <sheetViews>
    <sheetView topLeftCell="A154" zoomScaleNormal="100" zoomScaleSheetLayoutView="100" workbookViewId="0">
      <selection activeCell="K178" sqref="K178"/>
    </sheetView>
  </sheetViews>
  <sheetFormatPr defaultColWidth="7.85546875" defaultRowHeight="12.75"/>
  <cols>
    <col min="1" max="1" width="7" style="568" customWidth="1"/>
    <col min="2" max="2" width="11.42578125" style="2" customWidth="1"/>
    <col min="3" max="5" width="9.7109375" style="2" customWidth="1"/>
    <col min="6" max="6" width="12.42578125" style="2" customWidth="1"/>
    <col min="7" max="7" width="8.85546875" style="2" customWidth="1"/>
    <col min="8" max="8" width="8.7109375" style="2" customWidth="1"/>
    <col min="9" max="10" width="8.7109375" style="226" customWidth="1"/>
    <col min="11" max="11" width="29.85546875" style="226" customWidth="1"/>
    <col min="12" max="14" width="7.42578125" style="50" customWidth="1"/>
    <col min="15" max="256" width="7.85546875" style="226"/>
    <col min="257" max="257" width="7" style="226" customWidth="1"/>
    <col min="258" max="258" width="11.42578125" style="226" customWidth="1"/>
    <col min="259" max="261" width="9.7109375" style="226" customWidth="1"/>
    <col min="262" max="262" width="12.42578125" style="226" customWidth="1"/>
    <col min="263" max="263" width="8.85546875" style="226" customWidth="1"/>
    <col min="264" max="266" width="8.7109375" style="226" customWidth="1"/>
    <col min="267" max="267" width="29.85546875" style="226" customWidth="1"/>
    <col min="268" max="270" width="7.42578125" style="226" customWidth="1"/>
    <col min="271" max="512" width="7.85546875" style="226"/>
    <col min="513" max="513" width="7" style="226" customWidth="1"/>
    <col min="514" max="514" width="11.42578125" style="226" customWidth="1"/>
    <col min="515" max="517" width="9.7109375" style="226" customWidth="1"/>
    <col min="518" max="518" width="12.42578125" style="226" customWidth="1"/>
    <col min="519" max="519" width="8.85546875" style="226" customWidth="1"/>
    <col min="520" max="522" width="8.7109375" style="226" customWidth="1"/>
    <col min="523" max="523" width="29.85546875" style="226" customWidth="1"/>
    <col min="524" max="526" width="7.42578125" style="226" customWidth="1"/>
    <col min="527" max="768" width="7.85546875" style="226"/>
    <col min="769" max="769" width="7" style="226" customWidth="1"/>
    <col min="770" max="770" width="11.42578125" style="226" customWidth="1"/>
    <col min="771" max="773" width="9.7109375" style="226" customWidth="1"/>
    <col min="774" max="774" width="12.42578125" style="226" customWidth="1"/>
    <col min="775" max="775" width="8.85546875" style="226" customWidth="1"/>
    <col min="776" max="778" width="8.7109375" style="226" customWidth="1"/>
    <col min="779" max="779" width="29.85546875" style="226" customWidth="1"/>
    <col min="780" max="782" width="7.42578125" style="226" customWidth="1"/>
    <col min="783" max="1024" width="7.85546875" style="226"/>
    <col min="1025" max="1025" width="7" style="226" customWidth="1"/>
    <col min="1026" max="1026" width="11.42578125" style="226" customWidth="1"/>
    <col min="1027" max="1029" width="9.7109375" style="226" customWidth="1"/>
    <col min="1030" max="1030" width="12.42578125" style="226" customWidth="1"/>
    <col min="1031" max="1031" width="8.85546875" style="226" customWidth="1"/>
    <col min="1032" max="1034" width="8.7109375" style="226" customWidth="1"/>
    <col min="1035" max="1035" width="29.85546875" style="226" customWidth="1"/>
    <col min="1036" max="1038" width="7.42578125" style="226" customWidth="1"/>
    <col min="1039" max="1280" width="7.85546875" style="226"/>
    <col min="1281" max="1281" width="7" style="226" customWidth="1"/>
    <col min="1282" max="1282" width="11.42578125" style="226" customWidth="1"/>
    <col min="1283" max="1285" width="9.7109375" style="226" customWidth="1"/>
    <col min="1286" max="1286" width="12.42578125" style="226" customWidth="1"/>
    <col min="1287" max="1287" width="8.85546875" style="226" customWidth="1"/>
    <col min="1288" max="1290" width="8.7109375" style="226" customWidth="1"/>
    <col min="1291" max="1291" width="29.85546875" style="226" customWidth="1"/>
    <col min="1292" max="1294" width="7.42578125" style="226" customWidth="1"/>
    <col min="1295" max="1536" width="7.85546875" style="226"/>
    <col min="1537" max="1537" width="7" style="226" customWidth="1"/>
    <col min="1538" max="1538" width="11.42578125" style="226" customWidth="1"/>
    <col min="1539" max="1541" width="9.7109375" style="226" customWidth="1"/>
    <col min="1542" max="1542" width="12.42578125" style="226" customWidth="1"/>
    <col min="1543" max="1543" width="8.85546875" style="226" customWidth="1"/>
    <col min="1544" max="1546" width="8.7109375" style="226" customWidth="1"/>
    <col min="1547" max="1547" width="29.85546875" style="226" customWidth="1"/>
    <col min="1548" max="1550" width="7.42578125" style="226" customWidth="1"/>
    <col min="1551" max="1792" width="7.85546875" style="226"/>
    <col min="1793" max="1793" width="7" style="226" customWidth="1"/>
    <col min="1794" max="1794" width="11.42578125" style="226" customWidth="1"/>
    <col min="1795" max="1797" width="9.7109375" style="226" customWidth="1"/>
    <col min="1798" max="1798" width="12.42578125" style="226" customWidth="1"/>
    <col min="1799" max="1799" width="8.85546875" style="226" customWidth="1"/>
    <col min="1800" max="1802" width="8.7109375" style="226" customWidth="1"/>
    <col min="1803" max="1803" width="29.85546875" style="226" customWidth="1"/>
    <col min="1804" max="1806" width="7.42578125" style="226" customWidth="1"/>
    <col min="1807" max="2048" width="7.85546875" style="226"/>
    <col min="2049" max="2049" width="7" style="226" customWidth="1"/>
    <col min="2050" max="2050" width="11.42578125" style="226" customWidth="1"/>
    <col min="2051" max="2053" width="9.7109375" style="226" customWidth="1"/>
    <col min="2054" max="2054" width="12.42578125" style="226" customWidth="1"/>
    <col min="2055" max="2055" width="8.85546875" style="226" customWidth="1"/>
    <col min="2056" max="2058" width="8.7109375" style="226" customWidth="1"/>
    <col min="2059" max="2059" width="29.85546875" style="226" customWidth="1"/>
    <col min="2060" max="2062" width="7.42578125" style="226" customWidth="1"/>
    <col min="2063" max="2304" width="7.85546875" style="226"/>
    <col min="2305" max="2305" width="7" style="226" customWidth="1"/>
    <col min="2306" max="2306" width="11.42578125" style="226" customWidth="1"/>
    <col min="2307" max="2309" width="9.7109375" style="226" customWidth="1"/>
    <col min="2310" max="2310" width="12.42578125" style="226" customWidth="1"/>
    <col min="2311" max="2311" width="8.85546875" style="226" customWidth="1"/>
    <col min="2312" max="2314" width="8.7109375" style="226" customWidth="1"/>
    <col min="2315" max="2315" width="29.85546875" style="226" customWidth="1"/>
    <col min="2316" max="2318" width="7.42578125" style="226" customWidth="1"/>
    <col min="2319" max="2560" width="7.85546875" style="226"/>
    <col min="2561" max="2561" width="7" style="226" customWidth="1"/>
    <col min="2562" max="2562" width="11.42578125" style="226" customWidth="1"/>
    <col min="2563" max="2565" width="9.7109375" style="226" customWidth="1"/>
    <col min="2566" max="2566" width="12.42578125" style="226" customWidth="1"/>
    <col min="2567" max="2567" width="8.85546875" style="226" customWidth="1"/>
    <col min="2568" max="2570" width="8.7109375" style="226" customWidth="1"/>
    <col min="2571" max="2571" width="29.85546875" style="226" customWidth="1"/>
    <col min="2572" max="2574" width="7.42578125" style="226" customWidth="1"/>
    <col min="2575" max="2816" width="7.85546875" style="226"/>
    <col min="2817" max="2817" width="7" style="226" customWidth="1"/>
    <col min="2818" max="2818" width="11.42578125" style="226" customWidth="1"/>
    <col min="2819" max="2821" width="9.7109375" style="226" customWidth="1"/>
    <col min="2822" max="2822" width="12.42578125" style="226" customWidth="1"/>
    <col min="2823" max="2823" width="8.85546875" style="226" customWidth="1"/>
    <col min="2824" max="2826" width="8.7109375" style="226" customWidth="1"/>
    <col min="2827" max="2827" width="29.85546875" style="226" customWidth="1"/>
    <col min="2828" max="2830" width="7.42578125" style="226" customWidth="1"/>
    <col min="2831" max="3072" width="7.85546875" style="226"/>
    <col min="3073" max="3073" width="7" style="226" customWidth="1"/>
    <col min="3074" max="3074" width="11.42578125" style="226" customWidth="1"/>
    <col min="3075" max="3077" width="9.7109375" style="226" customWidth="1"/>
    <col min="3078" max="3078" width="12.42578125" style="226" customWidth="1"/>
    <col min="3079" max="3079" width="8.85546875" style="226" customWidth="1"/>
    <col min="3080" max="3082" width="8.7109375" style="226" customWidth="1"/>
    <col min="3083" max="3083" width="29.85546875" style="226" customWidth="1"/>
    <col min="3084" max="3086" width="7.42578125" style="226" customWidth="1"/>
    <col min="3087" max="3328" width="7.85546875" style="226"/>
    <col min="3329" max="3329" width="7" style="226" customWidth="1"/>
    <col min="3330" max="3330" width="11.42578125" style="226" customWidth="1"/>
    <col min="3331" max="3333" width="9.7109375" style="226" customWidth="1"/>
    <col min="3334" max="3334" width="12.42578125" style="226" customWidth="1"/>
    <col min="3335" max="3335" width="8.85546875" style="226" customWidth="1"/>
    <col min="3336" max="3338" width="8.7109375" style="226" customWidth="1"/>
    <col min="3339" max="3339" width="29.85546875" style="226" customWidth="1"/>
    <col min="3340" max="3342" width="7.42578125" style="226" customWidth="1"/>
    <col min="3343" max="3584" width="7.85546875" style="226"/>
    <col min="3585" max="3585" width="7" style="226" customWidth="1"/>
    <col min="3586" max="3586" width="11.42578125" style="226" customWidth="1"/>
    <col min="3587" max="3589" width="9.7109375" style="226" customWidth="1"/>
    <col min="3590" max="3590" width="12.42578125" style="226" customWidth="1"/>
    <col min="3591" max="3591" width="8.85546875" style="226" customWidth="1"/>
    <col min="3592" max="3594" width="8.7109375" style="226" customWidth="1"/>
    <col min="3595" max="3595" width="29.85546875" style="226" customWidth="1"/>
    <col min="3596" max="3598" width="7.42578125" style="226" customWidth="1"/>
    <col min="3599" max="3840" width="7.85546875" style="226"/>
    <col min="3841" max="3841" width="7" style="226" customWidth="1"/>
    <col min="3842" max="3842" width="11.42578125" style="226" customWidth="1"/>
    <col min="3843" max="3845" width="9.7109375" style="226" customWidth="1"/>
    <col min="3846" max="3846" width="12.42578125" style="226" customWidth="1"/>
    <col min="3847" max="3847" width="8.85546875" style="226" customWidth="1"/>
    <col min="3848" max="3850" width="8.7109375" style="226" customWidth="1"/>
    <col min="3851" max="3851" width="29.85546875" style="226" customWidth="1"/>
    <col min="3852" max="3854" width="7.42578125" style="226" customWidth="1"/>
    <col min="3855" max="4096" width="7.85546875" style="226"/>
    <col min="4097" max="4097" width="7" style="226" customWidth="1"/>
    <col min="4098" max="4098" width="11.42578125" style="226" customWidth="1"/>
    <col min="4099" max="4101" width="9.7109375" style="226" customWidth="1"/>
    <col min="4102" max="4102" width="12.42578125" style="226" customWidth="1"/>
    <col min="4103" max="4103" width="8.85546875" style="226" customWidth="1"/>
    <col min="4104" max="4106" width="8.7109375" style="226" customWidth="1"/>
    <col min="4107" max="4107" width="29.85546875" style="226" customWidth="1"/>
    <col min="4108" max="4110" width="7.42578125" style="226" customWidth="1"/>
    <col min="4111" max="4352" width="7.85546875" style="226"/>
    <col min="4353" max="4353" width="7" style="226" customWidth="1"/>
    <col min="4354" max="4354" width="11.42578125" style="226" customWidth="1"/>
    <col min="4355" max="4357" width="9.7109375" style="226" customWidth="1"/>
    <col min="4358" max="4358" width="12.42578125" style="226" customWidth="1"/>
    <col min="4359" max="4359" width="8.85546875" style="226" customWidth="1"/>
    <col min="4360" max="4362" width="8.7109375" style="226" customWidth="1"/>
    <col min="4363" max="4363" width="29.85546875" style="226" customWidth="1"/>
    <col min="4364" max="4366" width="7.42578125" style="226" customWidth="1"/>
    <col min="4367" max="4608" width="7.85546875" style="226"/>
    <col min="4609" max="4609" width="7" style="226" customWidth="1"/>
    <col min="4610" max="4610" width="11.42578125" style="226" customWidth="1"/>
    <col min="4611" max="4613" width="9.7109375" style="226" customWidth="1"/>
    <col min="4614" max="4614" width="12.42578125" style="226" customWidth="1"/>
    <col min="4615" max="4615" width="8.85546875" style="226" customWidth="1"/>
    <col min="4616" max="4618" width="8.7109375" style="226" customWidth="1"/>
    <col min="4619" max="4619" width="29.85546875" style="226" customWidth="1"/>
    <col min="4620" max="4622" width="7.42578125" style="226" customWidth="1"/>
    <col min="4623" max="4864" width="7.85546875" style="226"/>
    <col min="4865" max="4865" width="7" style="226" customWidth="1"/>
    <col min="4866" max="4866" width="11.42578125" style="226" customWidth="1"/>
    <col min="4867" max="4869" width="9.7109375" style="226" customWidth="1"/>
    <col min="4870" max="4870" width="12.42578125" style="226" customWidth="1"/>
    <col min="4871" max="4871" width="8.85546875" style="226" customWidth="1"/>
    <col min="4872" max="4874" width="8.7109375" style="226" customWidth="1"/>
    <col min="4875" max="4875" width="29.85546875" style="226" customWidth="1"/>
    <col min="4876" max="4878" width="7.42578125" style="226" customWidth="1"/>
    <col min="4879" max="5120" width="7.85546875" style="226"/>
    <col min="5121" max="5121" width="7" style="226" customWidth="1"/>
    <col min="5122" max="5122" width="11.42578125" style="226" customWidth="1"/>
    <col min="5123" max="5125" width="9.7109375" style="226" customWidth="1"/>
    <col min="5126" max="5126" width="12.42578125" style="226" customWidth="1"/>
    <col min="5127" max="5127" width="8.85546875" style="226" customWidth="1"/>
    <col min="5128" max="5130" width="8.7109375" style="226" customWidth="1"/>
    <col min="5131" max="5131" width="29.85546875" style="226" customWidth="1"/>
    <col min="5132" max="5134" width="7.42578125" style="226" customWidth="1"/>
    <col min="5135" max="5376" width="7.85546875" style="226"/>
    <col min="5377" max="5377" width="7" style="226" customWidth="1"/>
    <col min="5378" max="5378" width="11.42578125" style="226" customWidth="1"/>
    <col min="5379" max="5381" width="9.7109375" style="226" customWidth="1"/>
    <col min="5382" max="5382" width="12.42578125" style="226" customWidth="1"/>
    <col min="5383" max="5383" width="8.85546875" style="226" customWidth="1"/>
    <col min="5384" max="5386" width="8.7109375" style="226" customWidth="1"/>
    <col min="5387" max="5387" width="29.85546875" style="226" customWidth="1"/>
    <col min="5388" max="5390" width="7.42578125" style="226" customWidth="1"/>
    <col min="5391" max="5632" width="7.85546875" style="226"/>
    <col min="5633" max="5633" width="7" style="226" customWidth="1"/>
    <col min="5634" max="5634" width="11.42578125" style="226" customWidth="1"/>
    <col min="5635" max="5637" width="9.7109375" style="226" customWidth="1"/>
    <col min="5638" max="5638" width="12.42578125" style="226" customWidth="1"/>
    <col min="5639" max="5639" width="8.85546875" style="226" customWidth="1"/>
    <col min="5640" max="5642" width="8.7109375" style="226" customWidth="1"/>
    <col min="5643" max="5643" width="29.85546875" style="226" customWidth="1"/>
    <col min="5644" max="5646" width="7.42578125" style="226" customWidth="1"/>
    <col min="5647" max="5888" width="7.85546875" style="226"/>
    <col min="5889" max="5889" width="7" style="226" customWidth="1"/>
    <col min="5890" max="5890" width="11.42578125" style="226" customWidth="1"/>
    <col min="5891" max="5893" width="9.7109375" style="226" customWidth="1"/>
    <col min="5894" max="5894" width="12.42578125" style="226" customWidth="1"/>
    <col min="5895" max="5895" width="8.85546875" style="226" customWidth="1"/>
    <col min="5896" max="5898" width="8.7109375" style="226" customWidth="1"/>
    <col min="5899" max="5899" width="29.85546875" style="226" customWidth="1"/>
    <col min="5900" max="5902" width="7.42578125" style="226" customWidth="1"/>
    <col min="5903" max="6144" width="7.85546875" style="226"/>
    <col min="6145" max="6145" width="7" style="226" customWidth="1"/>
    <col min="6146" max="6146" width="11.42578125" style="226" customWidth="1"/>
    <col min="6147" max="6149" width="9.7109375" style="226" customWidth="1"/>
    <col min="6150" max="6150" width="12.42578125" style="226" customWidth="1"/>
    <col min="6151" max="6151" width="8.85546875" style="226" customWidth="1"/>
    <col min="6152" max="6154" width="8.7109375" style="226" customWidth="1"/>
    <col min="6155" max="6155" width="29.85546875" style="226" customWidth="1"/>
    <col min="6156" max="6158" width="7.42578125" style="226" customWidth="1"/>
    <col min="6159" max="6400" width="7.85546875" style="226"/>
    <col min="6401" max="6401" width="7" style="226" customWidth="1"/>
    <col min="6402" max="6402" width="11.42578125" style="226" customWidth="1"/>
    <col min="6403" max="6405" width="9.7109375" style="226" customWidth="1"/>
    <col min="6406" max="6406" width="12.42578125" style="226" customWidth="1"/>
    <col min="6407" max="6407" width="8.85546875" style="226" customWidth="1"/>
    <col min="6408" max="6410" width="8.7109375" style="226" customWidth="1"/>
    <col min="6411" max="6411" width="29.85546875" style="226" customWidth="1"/>
    <col min="6412" max="6414" width="7.42578125" style="226" customWidth="1"/>
    <col min="6415" max="6656" width="7.85546875" style="226"/>
    <col min="6657" max="6657" width="7" style="226" customWidth="1"/>
    <col min="6658" max="6658" width="11.42578125" style="226" customWidth="1"/>
    <col min="6659" max="6661" width="9.7109375" style="226" customWidth="1"/>
    <col min="6662" max="6662" width="12.42578125" style="226" customWidth="1"/>
    <col min="6663" max="6663" width="8.85546875" style="226" customWidth="1"/>
    <col min="6664" max="6666" width="8.7109375" style="226" customWidth="1"/>
    <col min="6667" max="6667" width="29.85546875" style="226" customWidth="1"/>
    <col min="6668" max="6670" width="7.42578125" style="226" customWidth="1"/>
    <col min="6671" max="6912" width="7.85546875" style="226"/>
    <col min="6913" max="6913" width="7" style="226" customWidth="1"/>
    <col min="6914" max="6914" width="11.42578125" style="226" customWidth="1"/>
    <col min="6915" max="6917" width="9.7109375" style="226" customWidth="1"/>
    <col min="6918" max="6918" width="12.42578125" style="226" customWidth="1"/>
    <col min="6919" max="6919" width="8.85546875" style="226" customWidth="1"/>
    <col min="6920" max="6922" width="8.7109375" style="226" customWidth="1"/>
    <col min="6923" max="6923" width="29.85546875" style="226" customWidth="1"/>
    <col min="6924" max="6926" width="7.42578125" style="226" customWidth="1"/>
    <col min="6927" max="7168" width="7.85546875" style="226"/>
    <col min="7169" max="7169" width="7" style="226" customWidth="1"/>
    <col min="7170" max="7170" width="11.42578125" style="226" customWidth="1"/>
    <col min="7171" max="7173" width="9.7109375" style="226" customWidth="1"/>
    <col min="7174" max="7174" width="12.42578125" style="226" customWidth="1"/>
    <col min="7175" max="7175" width="8.85546875" style="226" customWidth="1"/>
    <col min="7176" max="7178" width="8.7109375" style="226" customWidth="1"/>
    <col min="7179" max="7179" width="29.85546875" style="226" customWidth="1"/>
    <col min="7180" max="7182" width="7.42578125" style="226" customWidth="1"/>
    <col min="7183" max="7424" width="7.85546875" style="226"/>
    <col min="7425" max="7425" width="7" style="226" customWidth="1"/>
    <col min="7426" max="7426" width="11.42578125" style="226" customWidth="1"/>
    <col min="7427" max="7429" width="9.7109375" style="226" customWidth="1"/>
    <col min="7430" max="7430" width="12.42578125" style="226" customWidth="1"/>
    <col min="7431" max="7431" width="8.85546875" style="226" customWidth="1"/>
    <col min="7432" max="7434" width="8.7109375" style="226" customWidth="1"/>
    <col min="7435" max="7435" width="29.85546875" style="226" customWidth="1"/>
    <col min="7436" max="7438" width="7.42578125" style="226" customWidth="1"/>
    <col min="7439" max="7680" width="7.85546875" style="226"/>
    <col min="7681" max="7681" width="7" style="226" customWidth="1"/>
    <col min="7682" max="7682" width="11.42578125" style="226" customWidth="1"/>
    <col min="7683" max="7685" width="9.7109375" style="226" customWidth="1"/>
    <col min="7686" max="7686" width="12.42578125" style="226" customWidth="1"/>
    <col min="7687" max="7687" width="8.85546875" style="226" customWidth="1"/>
    <col min="7688" max="7690" width="8.7109375" style="226" customWidth="1"/>
    <col min="7691" max="7691" width="29.85546875" style="226" customWidth="1"/>
    <col min="7692" max="7694" width="7.42578125" style="226" customWidth="1"/>
    <col min="7695" max="7936" width="7.85546875" style="226"/>
    <col min="7937" max="7937" width="7" style="226" customWidth="1"/>
    <col min="7938" max="7938" width="11.42578125" style="226" customWidth="1"/>
    <col min="7939" max="7941" width="9.7109375" style="226" customWidth="1"/>
    <col min="7942" max="7942" width="12.42578125" style="226" customWidth="1"/>
    <col min="7943" max="7943" width="8.85546875" style="226" customWidth="1"/>
    <col min="7944" max="7946" width="8.7109375" style="226" customWidth="1"/>
    <col min="7947" max="7947" width="29.85546875" style="226" customWidth="1"/>
    <col min="7948" max="7950" width="7.42578125" style="226" customWidth="1"/>
    <col min="7951" max="8192" width="7.85546875" style="226"/>
    <col min="8193" max="8193" width="7" style="226" customWidth="1"/>
    <col min="8194" max="8194" width="11.42578125" style="226" customWidth="1"/>
    <col min="8195" max="8197" width="9.7109375" style="226" customWidth="1"/>
    <col min="8198" max="8198" width="12.42578125" style="226" customWidth="1"/>
    <col min="8199" max="8199" width="8.85546875" style="226" customWidth="1"/>
    <col min="8200" max="8202" width="8.7109375" style="226" customWidth="1"/>
    <col min="8203" max="8203" width="29.85546875" style="226" customWidth="1"/>
    <col min="8204" max="8206" width="7.42578125" style="226" customWidth="1"/>
    <col min="8207" max="8448" width="7.85546875" style="226"/>
    <col min="8449" max="8449" width="7" style="226" customWidth="1"/>
    <col min="8450" max="8450" width="11.42578125" style="226" customWidth="1"/>
    <col min="8451" max="8453" width="9.7109375" style="226" customWidth="1"/>
    <col min="8454" max="8454" width="12.42578125" style="226" customWidth="1"/>
    <col min="8455" max="8455" width="8.85546875" style="226" customWidth="1"/>
    <col min="8456" max="8458" width="8.7109375" style="226" customWidth="1"/>
    <col min="8459" max="8459" width="29.85546875" style="226" customWidth="1"/>
    <col min="8460" max="8462" width="7.42578125" style="226" customWidth="1"/>
    <col min="8463" max="8704" width="7.85546875" style="226"/>
    <col min="8705" max="8705" width="7" style="226" customWidth="1"/>
    <col min="8706" max="8706" width="11.42578125" style="226" customWidth="1"/>
    <col min="8707" max="8709" width="9.7109375" style="226" customWidth="1"/>
    <col min="8710" max="8710" width="12.42578125" style="226" customWidth="1"/>
    <col min="8711" max="8711" width="8.85546875" style="226" customWidth="1"/>
    <col min="8712" max="8714" width="8.7109375" style="226" customWidth="1"/>
    <col min="8715" max="8715" width="29.85546875" style="226" customWidth="1"/>
    <col min="8716" max="8718" width="7.42578125" style="226" customWidth="1"/>
    <col min="8719" max="8960" width="7.85546875" style="226"/>
    <col min="8961" max="8961" width="7" style="226" customWidth="1"/>
    <col min="8962" max="8962" width="11.42578125" style="226" customWidth="1"/>
    <col min="8963" max="8965" width="9.7109375" style="226" customWidth="1"/>
    <col min="8966" max="8966" width="12.42578125" style="226" customWidth="1"/>
    <col min="8967" max="8967" width="8.85546875" style="226" customWidth="1"/>
    <col min="8968" max="8970" width="8.7109375" style="226" customWidth="1"/>
    <col min="8971" max="8971" width="29.85546875" style="226" customWidth="1"/>
    <col min="8972" max="8974" width="7.42578125" style="226" customWidth="1"/>
    <col min="8975" max="9216" width="7.85546875" style="226"/>
    <col min="9217" max="9217" width="7" style="226" customWidth="1"/>
    <col min="9218" max="9218" width="11.42578125" style="226" customWidth="1"/>
    <col min="9219" max="9221" width="9.7109375" style="226" customWidth="1"/>
    <col min="9222" max="9222" width="12.42578125" style="226" customWidth="1"/>
    <col min="9223" max="9223" width="8.85546875" style="226" customWidth="1"/>
    <col min="9224" max="9226" width="8.7109375" style="226" customWidth="1"/>
    <col min="9227" max="9227" width="29.85546875" style="226" customWidth="1"/>
    <col min="9228" max="9230" width="7.42578125" style="226" customWidth="1"/>
    <col min="9231" max="9472" width="7.85546875" style="226"/>
    <col min="9473" max="9473" width="7" style="226" customWidth="1"/>
    <col min="9474" max="9474" width="11.42578125" style="226" customWidth="1"/>
    <col min="9475" max="9477" width="9.7109375" style="226" customWidth="1"/>
    <col min="9478" max="9478" width="12.42578125" style="226" customWidth="1"/>
    <col min="9479" max="9479" width="8.85546875" style="226" customWidth="1"/>
    <col min="9480" max="9482" width="8.7109375" style="226" customWidth="1"/>
    <col min="9483" max="9483" width="29.85546875" style="226" customWidth="1"/>
    <col min="9484" max="9486" width="7.42578125" style="226" customWidth="1"/>
    <col min="9487" max="9728" width="7.85546875" style="226"/>
    <col min="9729" max="9729" width="7" style="226" customWidth="1"/>
    <col min="9730" max="9730" width="11.42578125" style="226" customWidth="1"/>
    <col min="9731" max="9733" width="9.7109375" style="226" customWidth="1"/>
    <col min="9734" max="9734" width="12.42578125" style="226" customWidth="1"/>
    <col min="9735" max="9735" width="8.85546875" style="226" customWidth="1"/>
    <col min="9736" max="9738" width="8.7109375" style="226" customWidth="1"/>
    <col min="9739" max="9739" width="29.85546875" style="226" customWidth="1"/>
    <col min="9740" max="9742" width="7.42578125" style="226" customWidth="1"/>
    <col min="9743" max="9984" width="7.85546875" style="226"/>
    <col min="9985" max="9985" width="7" style="226" customWidth="1"/>
    <col min="9986" max="9986" width="11.42578125" style="226" customWidth="1"/>
    <col min="9987" max="9989" width="9.7109375" style="226" customWidth="1"/>
    <col min="9990" max="9990" width="12.42578125" style="226" customWidth="1"/>
    <col min="9991" max="9991" width="8.85546875" style="226" customWidth="1"/>
    <col min="9992" max="9994" width="8.7109375" style="226" customWidth="1"/>
    <col min="9995" max="9995" width="29.85546875" style="226" customWidth="1"/>
    <col min="9996" max="9998" width="7.42578125" style="226" customWidth="1"/>
    <col min="9999" max="10240" width="7.85546875" style="226"/>
    <col min="10241" max="10241" width="7" style="226" customWidth="1"/>
    <col min="10242" max="10242" width="11.42578125" style="226" customWidth="1"/>
    <col min="10243" max="10245" width="9.7109375" style="226" customWidth="1"/>
    <col min="10246" max="10246" width="12.42578125" style="226" customWidth="1"/>
    <col min="10247" max="10247" width="8.85546875" style="226" customWidth="1"/>
    <col min="10248" max="10250" width="8.7109375" style="226" customWidth="1"/>
    <col min="10251" max="10251" width="29.85546875" style="226" customWidth="1"/>
    <col min="10252" max="10254" width="7.42578125" style="226" customWidth="1"/>
    <col min="10255" max="10496" width="7.85546875" style="226"/>
    <col min="10497" max="10497" width="7" style="226" customWidth="1"/>
    <col min="10498" max="10498" width="11.42578125" style="226" customWidth="1"/>
    <col min="10499" max="10501" width="9.7109375" style="226" customWidth="1"/>
    <col min="10502" max="10502" width="12.42578125" style="226" customWidth="1"/>
    <col min="10503" max="10503" width="8.85546875" style="226" customWidth="1"/>
    <col min="10504" max="10506" width="8.7109375" style="226" customWidth="1"/>
    <col min="10507" max="10507" width="29.85546875" style="226" customWidth="1"/>
    <col min="10508" max="10510" width="7.42578125" style="226" customWidth="1"/>
    <col min="10511" max="10752" width="7.85546875" style="226"/>
    <col min="10753" max="10753" width="7" style="226" customWidth="1"/>
    <col min="10754" max="10754" width="11.42578125" style="226" customWidth="1"/>
    <col min="10755" max="10757" width="9.7109375" style="226" customWidth="1"/>
    <col min="10758" max="10758" width="12.42578125" style="226" customWidth="1"/>
    <col min="10759" max="10759" width="8.85546875" style="226" customWidth="1"/>
    <col min="10760" max="10762" width="8.7109375" style="226" customWidth="1"/>
    <col min="10763" max="10763" width="29.85546875" style="226" customWidth="1"/>
    <col min="10764" max="10766" width="7.42578125" style="226" customWidth="1"/>
    <col min="10767" max="11008" width="7.85546875" style="226"/>
    <col min="11009" max="11009" width="7" style="226" customWidth="1"/>
    <col min="11010" max="11010" width="11.42578125" style="226" customWidth="1"/>
    <col min="11011" max="11013" width="9.7109375" style="226" customWidth="1"/>
    <col min="11014" max="11014" width="12.42578125" style="226" customWidth="1"/>
    <col min="11015" max="11015" width="8.85546875" style="226" customWidth="1"/>
    <col min="11016" max="11018" width="8.7109375" style="226" customWidth="1"/>
    <col min="11019" max="11019" width="29.85546875" style="226" customWidth="1"/>
    <col min="11020" max="11022" width="7.42578125" style="226" customWidth="1"/>
    <col min="11023" max="11264" width="7.85546875" style="226"/>
    <col min="11265" max="11265" width="7" style="226" customWidth="1"/>
    <col min="11266" max="11266" width="11.42578125" style="226" customWidth="1"/>
    <col min="11267" max="11269" width="9.7109375" style="226" customWidth="1"/>
    <col min="11270" max="11270" width="12.42578125" style="226" customWidth="1"/>
    <col min="11271" max="11271" width="8.85546875" style="226" customWidth="1"/>
    <col min="11272" max="11274" width="8.7109375" style="226" customWidth="1"/>
    <col min="11275" max="11275" width="29.85546875" style="226" customWidth="1"/>
    <col min="11276" max="11278" width="7.42578125" style="226" customWidth="1"/>
    <col min="11279" max="11520" width="7.85546875" style="226"/>
    <col min="11521" max="11521" width="7" style="226" customWidth="1"/>
    <col min="11522" max="11522" width="11.42578125" style="226" customWidth="1"/>
    <col min="11523" max="11525" width="9.7109375" style="226" customWidth="1"/>
    <col min="11526" max="11526" width="12.42578125" style="226" customWidth="1"/>
    <col min="11527" max="11527" width="8.85546875" style="226" customWidth="1"/>
    <col min="11528" max="11530" width="8.7109375" style="226" customWidth="1"/>
    <col min="11531" max="11531" width="29.85546875" style="226" customWidth="1"/>
    <col min="11532" max="11534" width="7.42578125" style="226" customWidth="1"/>
    <col min="11535" max="11776" width="7.85546875" style="226"/>
    <col min="11777" max="11777" width="7" style="226" customWidth="1"/>
    <col min="11778" max="11778" width="11.42578125" style="226" customWidth="1"/>
    <col min="11779" max="11781" width="9.7109375" style="226" customWidth="1"/>
    <col min="11782" max="11782" width="12.42578125" style="226" customWidth="1"/>
    <col min="11783" max="11783" width="8.85546875" style="226" customWidth="1"/>
    <col min="11784" max="11786" width="8.7109375" style="226" customWidth="1"/>
    <col min="11787" max="11787" width="29.85546875" style="226" customWidth="1"/>
    <col min="11788" max="11790" width="7.42578125" style="226" customWidth="1"/>
    <col min="11791" max="12032" width="7.85546875" style="226"/>
    <col min="12033" max="12033" width="7" style="226" customWidth="1"/>
    <col min="12034" max="12034" width="11.42578125" style="226" customWidth="1"/>
    <col min="12035" max="12037" width="9.7109375" style="226" customWidth="1"/>
    <col min="12038" max="12038" width="12.42578125" style="226" customWidth="1"/>
    <col min="12039" max="12039" width="8.85546875" style="226" customWidth="1"/>
    <col min="12040" max="12042" width="8.7109375" style="226" customWidth="1"/>
    <col min="12043" max="12043" width="29.85546875" style="226" customWidth="1"/>
    <col min="12044" max="12046" width="7.42578125" style="226" customWidth="1"/>
    <col min="12047" max="12288" width="7.85546875" style="226"/>
    <col min="12289" max="12289" width="7" style="226" customWidth="1"/>
    <col min="12290" max="12290" width="11.42578125" style="226" customWidth="1"/>
    <col min="12291" max="12293" width="9.7109375" style="226" customWidth="1"/>
    <col min="12294" max="12294" width="12.42578125" style="226" customWidth="1"/>
    <col min="12295" max="12295" width="8.85546875" style="226" customWidth="1"/>
    <col min="12296" max="12298" width="8.7109375" style="226" customWidth="1"/>
    <col min="12299" max="12299" width="29.85546875" style="226" customWidth="1"/>
    <col min="12300" max="12302" width="7.42578125" style="226" customWidth="1"/>
    <col min="12303" max="12544" width="7.85546875" style="226"/>
    <col min="12545" max="12545" width="7" style="226" customWidth="1"/>
    <col min="12546" max="12546" width="11.42578125" style="226" customWidth="1"/>
    <col min="12547" max="12549" width="9.7109375" style="226" customWidth="1"/>
    <col min="12550" max="12550" width="12.42578125" style="226" customWidth="1"/>
    <col min="12551" max="12551" width="8.85546875" style="226" customWidth="1"/>
    <col min="12552" max="12554" width="8.7109375" style="226" customWidth="1"/>
    <col min="12555" max="12555" width="29.85546875" style="226" customWidth="1"/>
    <col min="12556" max="12558" width="7.42578125" style="226" customWidth="1"/>
    <col min="12559" max="12800" width="7.85546875" style="226"/>
    <col min="12801" max="12801" width="7" style="226" customWidth="1"/>
    <col min="12802" max="12802" width="11.42578125" style="226" customWidth="1"/>
    <col min="12803" max="12805" width="9.7109375" style="226" customWidth="1"/>
    <col min="12806" max="12806" width="12.42578125" style="226" customWidth="1"/>
    <col min="12807" max="12807" width="8.85546875" style="226" customWidth="1"/>
    <col min="12808" max="12810" width="8.7109375" style="226" customWidth="1"/>
    <col min="12811" max="12811" width="29.85546875" style="226" customWidth="1"/>
    <col min="12812" max="12814" width="7.42578125" style="226" customWidth="1"/>
    <col min="12815" max="13056" width="7.85546875" style="226"/>
    <col min="13057" max="13057" width="7" style="226" customWidth="1"/>
    <col min="13058" max="13058" width="11.42578125" style="226" customWidth="1"/>
    <col min="13059" max="13061" width="9.7109375" style="226" customWidth="1"/>
    <col min="13062" max="13062" width="12.42578125" style="226" customWidth="1"/>
    <col min="13063" max="13063" width="8.85546875" style="226" customWidth="1"/>
    <col min="13064" max="13066" width="8.7109375" style="226" customWidth="1"/>
    <col min="13067" max="13067" width="29.85546875" style="226" customWidth="1"/>
    <col min="13068" max="13070" width="7.42578125" style="226" customWidth="1"/>
    <col min="13071" max="13312" width="7.85546875" style="226"/>
    <col min="13313" max="13313" width="7" style="226" customWidth="1"/>
    <col min="13314" max="13314" width="11.42578125" style="226" customWidth="1"/>
    <col min="13315" max="13317" width="9.7109375" style="226" customWidth="1"/>
    <col min="13318" max="13318" width="12.42578125" style="226" customWidth="1"/>
    <col min="13319" max="13319" width="8.85546875" style="226" customWidth="1"/>
    <col min="13320" max="13322" width="8.7109375" style="226" customWidth="1"/>
    <col min="13323" max="13323" width="29.85546875" style="226" customWidth="1"/>
    <col min="13324" max="13326" width="7.42578125" style="226" customWidth="1"/>
    <col min="13327" max="13568" width="7.85546875" style="226"/>
    <col min="13569" max="13569" width="7" style="226" customWidth="1"/>
    <col min="13570" max="13570" width="11.42578125" style="226" customWidth="1"/>
    <col min="13571" max="13573" width="9.7109375" style="226" customWidth="1"/>
    <col min="13574" max="13574" width="12.42578125" style="226" customWidth="1"/>
    <col min="13575" max="13575" width="8.85546875" style="226" customWidth="1"/>
    <col min="13576" max="13578" width="8.7109375" style="226" customWidth="1"/>
    <col min="13579" max="13579" width="29.85546875" style="226" customWidth="1"/>
    <col min="13580" max="13582" width="7.42578125" style="226" customWidth="1"/>
    <col min="13583" max="13824" width="7.85546875" style="226"/>
    <col min="13825" max="13825" width="7" style="226" customWidth="1"/>
    <col min="13826" max="13826" width="11.42578125" style="226" customWidth="1"/>
    <col min="13827" max="13829" width="9.7109375" style="226" customWidth="1"/>
    <col min="13830" max="13830" width="12.42578125" style="226" customWidth="1"/>
    <col min="13831" max="13831" width="8.85546875" style="226" customWidth="1"/>
    <col min="13832" max="13834" width="8.7109375" style="226" customWidth="1"/>
    <col min="13835" max="13835" width="29.85546875" style="226" customWidth="1"/>
    <col min="13836" max="13838" width="7.42578125" style="226" customWidth="1"/>
    <col min="13839" max="14080" width="7.85546875" style="226"/>
    <col min="14081" max="14081" width="7" style="226" customWidth="1"/>
    <col min="14082" max="14082" width="11.42578125" style="226" customWidth="1"/>
    <col min="14083" max="14085" width="9.7109375" style="226" customWidth="1"/>
    <col min="14086" max="14086" width="12.42578125" style="226" customWidth="1"/>
    <col min="14087" max="14087" width="8.85546875" style="226" customWidth="1"/>
    <col min="14088" max="14090" width="8.7109375" style="226" customWidth="1"/>
    <col min="14091" max="14091" width="29.85546875" style="226" customWidth="1"/>
    <col min="14092" max="14094" width="7.42578125" style="226" customWidth="1"/>
    <col min="14095" max="14336" width="7.85546875" style="226"/>
    <col min="14337" max="14337" width="7" style="226" customWidth="1"/>
    <col min="14338" max="14338" width="11.42578125" style="226" customWidth="1"/>
    <col min="14339" max="14341" width="9.7109375" style="226" customWidth="1"/>
    <col min="14342" max="14342" width="12.42578125" style="226" customWidth="1"/>
    <col min="14343" max="14343" width="8.85546875" style="226" customWidth="1"/>
    <col min="14344" max="14346" width="8.7109375" style="226" customWidth="1"/>
    <col min="14347" max="14347" width="29.85546875" style="226" customWidth="1"/>
    <col min="14348" max="14350" width="7.42578125" style="226" customWidth="1"/>
    <col min="14351" max="14592" width="7.85546875" style="226"/>
    <col min="14593" max="14593" width="7" style="226" customWidth="1"/>
    <col min="14594" max="14594" width="11.42578125" style="226" customWidth="1"/>
    <col min="14595" max="14597" width="9.7109375" style="226" customWidth="1"/>
    <col min="14598" max="14598" width="12.42578125" style="226" customWidth="1"/>
    <col min="14599" max="14599" width="8.85546875" style="226" customWidth="1"/>
    <col min="14600" max="14602" width="8.7109375" style="226" customWidth="1"/>
    <col min="14603" max="14603" width="29.85546875" style="226" customWidth="1"/>
    <col min="14604" max="14606" width="7.42578125" style="226" customWidth="1"/>
    <col min="14607" max="14848" width="7.85546875" style="226"/>
    <col min="14849" max="14849" width="7" style="226" customWidth="1"/>
    <col min="14850" max="14850" width="11.42578125" style="226" customWidth="1"/>
    <col min="14851" max="14853" width="9.7109375" style="226" customWidth="1"/>
    <col min="14854" max="14854" width="12.42578125" style="226" customWidth="1"/>
    <col min="14855" max="14855" width="8.85546875" style="226" customWidth="1"/>
    <col min="14856" max="14858" width="8.7109375" style="226" customWidth="1"/>
    <col min="14859" max="14859" width="29.85546875" style="226" customWidth="1"/>
    <col min="14860" max="14862" width="7.42578125" style="226" customWidth="1"/>
    <col min="14863" max="15104" width="7.85546875" style="226"/>
    <col min="15105" max="15105" width="7" style="226" customWidth="1"/>
    <col min="15106" max="15106" width="11.42578125" style="226" customWidth="1"/>
    <col min="15107" max="15109" width="9.7109375" style="226" customWidth="1"/>
    <col min="15110" max="15110" width="12.42578125" style="226" customWidth="1"/>
    <col min="15111" max="15111" width="8.85546875" style="226" customWidth="1"/>
    <col min="15112" max="15114" width="8.7109375" style="226" customWidth="1"/>
    <col min="15115" max="15115" width="29.85546875" style="226" customWidth="1"/>
    <col min="15116" max="15118" width="7.42578125" style="226" customWidth="1"/>
    <col min="15119" max="15360" width="7.85546875" style="226"/>
    <col min="15361" max="15361" width="7" style="226" customWidth="1"/>
    <col min="15362" max="15362" width="11.42578125" style="226" customWidth="1"/>
    <col min="15363" max="15365" width="9.7109375" style="226" customWidth="1"/>
    <col min="15366" max="15366" width="12.42578125" style="226" customWidth="1"/>
    <col min="15367" max="15367" width="8.85546875" style="226" customWidth="1"/>
    <col min="15368" max="15370" width="8.7109375" style="226" customWidth="1"/>
    <col min="15371" max="15371" width="29.85546875" style="226" customWidth="1"/>
    <col min="15372" max="15374" width="7.42578125" style="226" customWidth="1"/>
    <col min="15375" max="15616" width="7.85546875" style="226"/>
    <col min="15617" max="15617" width="7" style="226" customWidth="1"/>
    <col min="15618" max="15618" width="11.42578125" style="226" customWidth="1"/>
    <col min="15619" max="15621" width="9.7109375" style="226" customWidth="1"/>
    <col min="15622" max="15622" width="12.42578125" style="226" customWidth="1"/>
    <col min="15623" max="15623" width="8.85546875" style="226" customWidth="1"/>
    <col min="15624" max="15626" width="8.7109375" style="226" customWidth="1"/>
    <col min="15627" max="15627" width="29.85546875" style="226" customWidth="1"/>
    <col min="15628" max="15630" width="7.42578125" style="226" customWidth="1"/>
    <col min="15631" max="15872" width="7.85546875" style="226"/>
    <col min="15873" max="15873" width="7" style="226" customWidth="1"/>
    <col min="15874" max="15874" width="11.42578125" style="226" customWidth="1"/>
    <col min="15875" max="15877" width="9.7109375" style="226" customWidth="1"/>
    <col min="15878" max="15878" width="12.42578125" style="226" customWidth="1"/>
    <col min="15879" max="15879" width="8.85546875" style="226" customWidth="1"/>
    <col min="15880" max="15882" width="8.7109375" style="226" customWidth="1"/>
    <col min="15883" max="15883" width="29.85546875" style="226" customWidth="1"/>
    <col min="15884" max="15886" width="7.42578125" style="226" customWidth="1"/>
    <col min="15887" max="16128" width="7.85546875" style="226"/>
    <col min="16129" max="16129" width="7" style="226" customWidth="1"/>
    <col min="16130" max="16130" width="11.42578125" style="226" customWidth="1"/>
    <col min="16131" max="16133" width="9.7109375" style="226" customWidth="1"/>
    <col min="16134" max="16134" width="12.42578125" style="226" customWidth="1"/>
    <col min="16135" max="16135" width="8.85546875" style="226" customWidth="1"/>
    <col min="16136" max="16138" width="8.7109375" style="226" customWidth="1"/>
    <col min="16139" max="16139" width="29.85546875" style="226" customWidth="1"/>
    <col min="16140" max="16142" width="7.42578125" style="226" customWidth="1"/>
    <col min="16143" max="16384" width="7.85546875" style="226"/>
  </cols>
  <sheetData>
    <row r="1" spans="1:14" ht="15.75">
      <c r="A1" s="42" t="s">
        <v>406</v>
      </c>
      <c r="B1" s="43"/>
      <c r="C1" s="43"/>
      <c r="D1" s="43"/>
      <c r="E1" s="43"/>
      <c r="F1" s="43"/>
      <c r="G1" s="43"/>
      <c r="H1" s="43"/>
      <c r="I1" s="43"/>
      <c r="J1" s="43"/>
      <c r="K1" s="226" t="s">
        <v>405</v>
      </c>
    </row>
    <row r="2" spans="1:14" ht="15.75">
      <c r="A2" s="44" t="s">
        <v>94</v>
      </c>
      <c r="B2" s="45"/>
      <c r="C2" s="45"/>
      <c r="D2" s="45"/>
      <c r="E2" s="45"/>
      <c r="F2" s="45"/>
      <c r="G2" s="45"/>
      <c r="H2" s="45"/>
      <c r="I2" s="45"/>
      <c r="J2" s="45"/>
      <c r="K2" s="226" t="s">
        <v>65</v>
      </c>
    </row>
    <row r="3" spans="1:14" ht="36" customHeight="1">
      <c r="A3" s="1311" t="s">
        <v>75</v>
      </c>
      <c r="B3" s="1311"/>
      <c r="C3" s="1311"/>
      <c r="D3" s="1311"/>
      <c r="E3" s="1311"/>
      <c r="F3" s="1311"/>
      <c r="G3" s="1311"/>
      <c r="H3" s="1311"/>
      <c r="I3" s="1311"/>
      <c r="J3" s="1311"/>
      <c r="K3" s="445" t="s">
        <v>395</v>
      </c>
    </row>
    <row r="4" spans="1:14" ht="5.25" customHeight="1" thickBot="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4" ht="13.5" customHeight="1">
      <c r="A5" s="1182" t="s">
        <v>68</v>
      </c>
      <c r="B5" s="1185" t="s">
        <v>69</v>
      </c>
      <c r="C5" s="1185" t="s">
        <v>70</v>
      </c>
      <c r="D5" s="1185" t="s">
        <v>27</v>
      </c>
      <c r="E5" s="1185" t="s">
        <v>71</v>
      </c>
      <c r="F5" s="1185" t="s">
        <v>5</v>
      </c>
      <c r="G5" s="1236" t="s">
        <v>72</v>
      </c>
      <c r="H5" s="1185" t="s">
        <v>449</v>
      </c>
      <c r="I5" s="1233" t="s">
        <v>390</v>
      </c>
      <c r="J5" s="1230" t="s">
        <v>450</v>
      </c>
      <c r="K5" s="1222" t="s">
        <v>73</v>
      </c>
      <c r="L5" s="1223"/>
      <c r="M5" s="1223"/>
      <c r="N5" s="1224"/>
    </row>
    <row r="6" spans="1:14" ht="13.5" customHeight="1">
      <c r="A6" s="1183"/>
      <c r="B6" s="1186"/>
      <c r="C6" s="1186"/>
      <c r="D6" s="1186"/>
      <c r="E6" s="1186"/>
      <c r="F6" s="1186"/>
      <c r="G6" s="1237"/>
      <c r="H6" s="1186"/>
      <c r="I6" s="1234"/>
      <c r="J6" s="1231"/>
      <c r="K6" s="1225" t="s">
        <v>27</v>
      </c>
      <c r="L6" s="1227" t="s">
        <v>74</v>
      </c>
      <c r="M6" s="1228"/>
      <c r="N6" s="1229"/>
    </row>
    <row r="7" spans="1:14" ht="145.5" customHeight="1" thickBot="1">
      <c r="A7" s="1184"/>
      <c r="B7" s="1187"/>
      <c r="C7" s="1186"/>
      <c r="D7" s="1186"/>
      <c r="E7" s="1186"/>
      <c r="F7" s="1186"/>
      <c r="G7" s="1237"/>
      <c r="H7" s="1186"/>
      <c r="I7" s="1234"/>
      <c r="J7" s="1231"/>
      <c r="K7" s="1329"/>
      <c r="L7" s="377" t="s">
        <v>177</v>
      </c>
      <c r="M7" s="377" t="s">
        <v>278</v>
      </c>
      <c r="N7" s="378" t="s">
        <v>407</v>
      </c>
    </row>
    <row r="8" spans="1:14">
      <c r="A8" s="1159" t="s">
        <v>279</v>
      </c>
      <c r="B8" s="1257" t="s">
        <v>788</v>
      </c>
      <c r="C8" s="1076" t="s">
        <v>337</v>
      </c>
      <c r="D8" s="1152"/>
      <c r="E8" s="1152"/>
      <c r="F8" s="1080" t="s">
        <v>112</v>
      </c>
      <c r="G8" s="429" t="s">
        <v>78</v>
      </c>
      <c r="H8" s="935">
        <v>240</v>
      </c>
      <c r="I8" s="431">
        <f>H8*1.006</f>
        <v>241.44</v>
      </c>
      <c r="J8" s="431">
        <f>I8*1.006</f>
        <v>242.88864000000001</v>
      </c>
      <c r="K8" s="1324" t="s">
        <v>212</v>
      </c>
      <c r="L8" s="1297">
        <v>445</v>
      </c>
      <c r="M8" s="1297">
        <v>450</v>
      </c>
      <c r="N8" s="1327">
        <v>450</v>
      </c>
    </row>
    <row r="9" spans="1:14" ht="13.5" thickBot="1">
      <c r="A9" s="1157"/>
      <c r="B9" s="1254"/>
      <c r="C9" s="1312"/>
      <c r="D9" s="1313"/>
      <c r="E9" s="1313"/>
      <c r="F9" s="1314"/>
      <c r="G9" s="475" t="s">
        <v>79</v>
      </c>
      <c r="H9" s="936">
        <v>30</v>
      </c>
      <c r="I9" s="463">
        <f>H9*1.006</f>
        <v>30.18</v>
      </c>
      <c r="J9" s="463">
        <f>I9*1.006</f>
        <v>30.361080000000001</v>
      </c>
      <c r="K9" s="1325"/>
      <c r="L9" s="1326"/>
      <c r="M9" s="1326"/>
      <c r="N9" s="1328"/>
    </row>
    <row r="10" spans="1:14" s="4" customFormat="1" ht="13.5" thickBot="1">
      <c r="A10" s="1158"/>
      <c r="B10" s="1158"/>
      <c r="C10" s="1106" t="s">
        <v>76</v>
      </c>
      <c r="D10" s="1320"/>
      <c r="E10" s="1320"/>
      <c r="F10" s="1320"/>
      <c r="G10" s="1320"/>
      <c r="H10" s="320">
        <f>SUM(H8:H9)</f>
        <v>270</v>
      </c>
      <c r="I10" s="321">
        <f>SUM(I8:I9)</f>
        <v>271.62</v>
      </c>
      <c r="J10" s="321">
        <f>SUM(J8:J9)</f>
        <v>273.24972000000002</v>
      </c>
      <c r="K10" s="186"/>
      <c r="L10" s="62"/>
      <c r="M10" s="62"/>
      <c r="N10" s="77"/>
    </row>
    <row r="11" spans="1:14" ht="23.25" thickBot="1">
      <c r="A11" s="1158"/>
      <c r="B11" s="1158"/>
      <c r="C11" s="1330" t="s">
        <v>336</v>
      </c>
      <c r="D11" s="1331"/>
      <c r="E11" s="1332"/>
      <c r="F11" s="342" t="s">
        <v>112</v>
      </c>
      <c r="G11" s="441" t="s">
        <v>78</v>
      </c>
      <c r="H11" s="941">
        <f>4696.2+24+36+6+81.1</f>
        <v>4843.3</v>
      </c>
      <c r="I11" s="463">
        <f>H11*1.006</f>
        <v>4872.3598000000002</v>
      </c>
      <c r="J11" s="463">
        <f>I11*1.006</f>
        <v>4901.5939588000001</v>
      </c>
      <c r="K11" s="244" t="s">
        <v>536</v>
      </c>
      <c r="L11" s="434">
        <v>8450</v>
      </c>
      <c r="M11" s="434">
        <v>8500</v>
      </c>
      <c r="N11" s="436">
        <v>8500</v>
      </c>
    </row>
    <row r="12" spans="1:14" ht="13.5" thickBot="1">
      <c r="A12" s="1158"/>
      <c r="B12" s="1158"/>
      <c r="C12" s="1259" t="s">
        <v>76</v>
      </c>
      <c r="D12" s="1315"/>
      <c r="E12" s="1315"/>
      <c r="F12" s="1315"/>
      <c r="G12" s="1316"/>
      <c r="H12" s="320">
        <f>SUM(H11)</f>
        <v>4843.3</v>
      </c>
      <c r="I12" s="321">
        <f>SUM(I11)</f>
        <v>4872.3598000000002</v>
      </c>
      <c r="J12" s="321">
        <f>SUM(J11)</f>
        <v>4901.5939588000001</v>
      </c>
      <c r="K12" s="186"/>
      <c r="L12" s="67"/>
      <c r="M12" s="67"/>
      <c r="N12" s="75"/>
    </row>
    <row r="13" spans="1:14" ht="24.75" customHeight="1" thickBot="1">
      <c r="A13" s="1158"/>
      <c r="B13" s="1158"/>
      <c r="C13" s="1139" t="s">
        <v>335</v>
      </c>
      <c r="D13" s="1091"/>
      <c r="E13" s="1092"/>
      <c r="F13" s="352" t="s">
        <v>112</v>
      </c>
      <c r="G13" s="441" t="s">
        <v>78</v>
      </c>
      <c r="H13" s="939">
        <v>1.2</v>
      </c>
      <c r="I13" s="463">
        <f>H13*1.006</f>
        <v>1.2072000000000001</v>
      </c>
      <c r="J13" s="463">
        <f>I13*1.006</f>
        <v>1.2144432000000001</v>
      </c>
      <c r="K13" s="442" t="s">
        <v>537</v>
      </c>
      <c r="L13" s="270">
        <v>4</v>
      </c>
      <c r="M13" s="270">
        <v>4</v>
      </c>
      <c r="N13" s="271">
        <v>4</v>
      </c>
    </row>
    <row r="14" spans="1:14" ht="13.5" thickBot="1">
      <c r="A14" s="1158"/>
      <c r="B14" s="1158"/>
      <c r="C14" s="1259" t="s">
        <v>76</v>
      </c>
      <c r="D14" s="1315"/>
      <c r="E14" s="1315"/>
      <c r="F14" s="1315"/>
      <c r="G14" s="1316"/>
      <c r="H14" s="320">
        <f>SUM(H13)</f>
        <v>1.2</v>
      </c>
      <c r="I14" s="321">
        <f>SUM(I13)</f>
        <v>1.2072000000000001</v>
      </c>
      <c r="J14" s="321">
        <f>SUM(J13)</f>
        <v>1.2144432000000001</v>
      </c>
      <c r="K14" s="227"/>
      <c r="L14" s="62"/>
      <c r="M14" s="62"/>
      <c r="N14" s="77"/>
    </row>
    <row r="15" spans="1:14" ht="23.25" thickBot="1">
      <c r="A15" s="1158"/>
      <c r="B15" s="1158"/>
      <c r="C15" s="386" t="s">
        <v>244</v>
      </c>
      <c r="D15" s="386"/>
      <c r="E15" s="292"/>
      <c r="F15" s="342" t="s">
        <v>112</v>
      </c>
      <c r="G15" s="441" t="s">
        <v>78</v>
      </c>
      <c r="H15" s="941">
        <f>418+276</f>
        <v>694</v>
      </c>
      <c r="I15" s="463">
        <f>H15*1.006</f>
        <v>698.16399999999999</v>
      </c>
      <c r="J15" s="463">
        <f>I15*1.006</f>
        <v>702.35298399999999</v>
      </c>
      <c r="K15" s="415" t="s">
        <v>538</v>
      </c>
      <c r="L15" s="469">
        <v>285</v>
      </c>
      <c r="M15" s="469">
        <v>290</v>
      </c>
      <c r="N15" s="470">
        <v>300</v>
      </c>
    </row>
    <row r="16" spans="1:14" ht="14.25" customHeight="1" thickBot="1">
      <c r="A16" s="1158"/>
      <c r="B16" s="1158"/>
      <c r="C16" s="1100" t="s">
        <v>76</v>
      </c>
      <c r="D16" s="1315"/>
      <c r="E16" s="1315"/>
      <c r="F16" s="1315"/>
      <c r="G16" s="1316"/>
      <c r="H16" s="320">
        <f>SUM(H15)</f>
        <v>694</v>
      </c>
      <c r="I16" s="321">
        <f>SUM(I15)</f>
        <v>698.16399999999999</v>
      </c>
      <c r="J16" s="321">
        <f>SUM(J15)</f>
        <v>702.35298399999999</v>
      </c>
      <c r="K16" s="79"/>
      <c r="L16" s="62"/>
      <c r="M16" s="62"/>
      <c r="N16" s="77"/>
    </row>
    <row r="17" spans="1:14" ht="25.5" customHeight="1" thickBot="1">
      <c r="A17" s="1158"/>
      <c r="B17" s="1158"/>
      <c r="C17" s="1090" t="s">
        <v>334</v>
      </c>
      <c r="D17" s="1091"/>
      <c r="E17" s="1092"/>
      <c r="F17" s="342" t="s">
        <v>112</v>
      </c>
      <c r="G17" s="441" t="s">
        <v>78</v>
      </c>
      <c r="H17" s="941">
        <v>84</v>
      </c>
      <c r="I17" s="463">
        <f>H17*1.006</f>
        <v>84.504000000000005</v>
      </c>
      <c r="J17" s="463">
        <f>I17*1.006</f>
        <v>85.011024000000006</v>
      </c>
      <c r="K17" s="408" t="s">
        <v>539</v>
      </c>
      <c r="L17" s="270">
        <v>40</v>
      </c>
      <c r="M17" s="270">
        <v>45</v>
      </c>
      <c r="N17" s="271">
        <v>50</v>
      </c>
    </row>
    <row r="18" spans="1:14" ht="13.5" thickBot="1">
      <c r="A18" s="1158"/>
      <c r="B18" s="1158"/>
      <c r="C18" s="1321"/>
      <c r="D18" s="1322"/>
      <c r="E18" s="1323"/>
      <c r="F18" s="385"/>
      <c r="G18" s="428" t="s">
        <v>76</v>
      </c>
      <c r="H18" s="320">
        <f>SUM(H17)</f>
        <v>84</v>
      </c>
      <c r="I18" s="321">
        <f>SUM(I17)</f>
        <v>84.504000000000005</v>
      </c>
      <c r="J18" s="321">
        <f>SUM(J17)</f>
        <v>85.011024000000006</v>
      </c>
      <c r="K18" s="227"/>
      <c r="L18" s="62"/>
      <c r="M18" s="62"/>
      <c r="N18" s="77"/>
    </row>
    <row r="19" spans="1:14" ht="24.75" customHeight="1" thickBot="1">
      <c r="A19" s="1158"/>
      <c r="B19" s="1158"/>
      <c r="C19" s="1090" t="s">
        <v>333</v>
      </c>
      <c r="D19" s="1091"/>
      <c r="E19" s="1092"/>
      <c r="F19" s="342" t="s">
        <v>112</v>
      </c>
      <c r="G19" s="441" t="s">
        <v>78</v>
      </c>
      <c r="H19" s="941">
        <v>12</v>
      </c>
      <c r="I19" s="463">
        <f>H19*1.006</f>
        <v>12.071999999999999</v>
      </c>
      <c r="J19" s="463">
        <f>I19*1.006</f>
        <v>12.144432</v>
      </c>
      <c r="K19" s="408" t="s">
        <v>540</v>
      </c>
      <c r="L19" s="270">
        <v>93</v>
      </c>
      <c r="M19" s="270">
        <v>95</v>
      </c>
      <c r="N19" s="271">
        <v>97</v>
      </c>
    </row>
    <row r="20" spans="1:14" ht="13.5" thickBot="1">
      <c r="A20" s="1158"/>
      <c r="B20" s="1158"/>
      <c r="C20" s="1100" t="s">
        <v>76</v>
      </c>
      <c r="D20" s="1315"/>
      <c r="E20" s="1315"/>
      <c r="F20" s="1315"/>
      <c r="G20" s="1316"/>
      <c r="H20" s="320">
        <f>SUM(H19)</f>
        <v>12</v>
      </c>
      <c r="I20" s="321">
        <f>SUM(I19)</f>
        <v>12.071999999999999</v>
      </c>
      <c r="J20" s="321">
        <f>SUM(J19)</f>
        <v>12.144432</v>
      </c>
      <c r="K20" s="227"/>
      <c r="L20" s="62"/>
      <c r="M20" s="62"/>
      <c r="N20" s="77"/>
    </row>
    <row r="21" spans="1:14" ht="30.75" customHeight="1" thickBot="1">
      <c r="A21" s="1158"/>
      <c r="B21" s="1158"/>
      <c r="C21" s="1210" t="s">
        <v>515</v>
      </c>
      <c r="D21" s="1131"/>
      <c r="E21" s="1132"/>
      <c r="F21" s="353" t="s">
        <v>112</v>
      </c>
      <c r="G21" s="446" t="s">
        <v>78</v>
      </c>
      <c r="H21" s="944">
        <f>3038.3+91.1</f>
        <v>3129.4</v>
      </c>
      <c r="I21" s="451">
        <f>H21*1.006</f>
        <v>3148.1764000000003</v>
      </c>
      <c r="J21" s="451">
        <f>I21*1.006</f>
        <v>3167.0654584000004</v>
      </c>
      <c r="K21" s="255" t="s">
        <v>541</v>
      </c>
      <c r="L21" s="270">
        <v>850</v>
      </c>
      <c r="M21" s="270">
        <v>870</v>
      </c>
      <c r="N21" s="271">
        <v>890</v>
      </c>
    </row>
    <row r="22" spans="1:14" ht="13.5" thickBot="1">
      <c r="A22" s="1158"/>
      <c r="B22" s="1158"/>
      <c r="C22" s="1100" t="s">
        <v>76</v>
      </c>
      <c r="D22" s="1315"/>
      <c r="E22" s="1315"/>
      <c r="F22" s="1315"/>
      <c r="G22" s="1316"/>
      <c r="H22" s="320">
        <f>SUM(H21:H21)</f>
        <v>3129.4</v>
      </c>
      <c r="I22" s="321">
        <f>SUM(I21:I21)</f>
        <v>3148.1764000000003</v>
      </c>
      <c r="J22" s="321">
        <f>SUM(J21:J21)</f>
        <v>3167.0654584000004</v>
      </c>
      <c r="K22" s="227"/>
      <c r="L22" s="62"/>
      <c r="M22" s="62"/>
      <c r="N22" s="77"/>
    </row>
    <row r="23" spans="1:14" ht="23.25" customHeight="1" thickBot="1">
      <c r="A23" s="1158"/>
      <c r="B23" s="1158"/>
      <c r="C23" s="386" t="s">
        <v>325</v>
      </c>
      <c r="D23" s="298"/>
      <c r="E23" s="292"/>
      <c r="F23" s="342" t="s">
        <v>112</v>
      </c>
      <c r="G23" s="441" t="s">
        <v>78</v>
      </c>
      <c r="H23" s="941">
        <v>0.1</v>
      </c>
      <c r="I23" s="463">
        <f>1.006*H23</f>
        <v>0.10060000000000001</v>
      </c>
      <c r="J23" s="463">
        <f>1.006*I23</f>
        <v>0.1012036</v>
      </c>
      <c r="K23" s="408" t="s">
        <v>542</v>
      </c>
      <c r="L23" s="469">
        <v>2</v>
      </c>
      <c r="M23" s="469">
        <v>2</v>
      </c>
      <c r="N23" s="470">
        <v>2</v>
      </c>
    </row>
    <row r="24" spans="1:14" ht="13.5" thickBot="1">
      <c r="A24" s="1158"/>
      <c r="B24" s="1158"/>
      <c r="C24" s="1100" t="s">
        <v>76</v>
      </c>
      <c r="D24" s="1315"/>
      <c r="E24" s="1315"/>
      <c r="F24" s="1315"/>
      <c r="G24" s="1316"/>
      <c r="H24" s="315">
        <f>SUM(H23)</f>
        <v>0.1</v>
      </c>
      <c r="I24" s="316">
        <f>SUM(I23)</f>
        <v>0.10060000000000001</v>
      </c>
      <c r="J24" s="316">
        <f>SUM(J23)</f>
        <v>0.1012036</v>
      </c>
      <c r="K24" s="229"/>
      <c r="L24" s="266"/>
      <c r="M24" s="266"/>
      <c r="N24" s="267"/>
    </row>
    <row r="25" spans="1:14" ht="13.5" thickBot="1">
      <c r="A25" s="1158"/>
      <c r="B25" s="1100" t="s">
        <v>77</v>
      </c>
      <c r="C25" s="1259"/>
      <c r="D25" s="1259"/>
      <c r="E25" s="1259"/>
      <c r="F25" s="1259"/>
      <c r="G25" s="1259"/>
      <c r="H25" s="320">
        <f>H10+H12+H14+H16+H18+H20+H22+H24</f>
        <v>9034</v>
      </c>
      <c r="I25" s="321">
        <f>I10+I12+I14+I16+I18+I20+I22+I24</f>
        <v>9088.2039999999997</v>
      </c>
      <c r="J25" s="321">
        <f>J10+J12+J14+J16+J18+J20+J22+J24</f>
        <v>9142.7332239999996</v>
      </c>
      <c r="K25" s="227"/>
      <c r="L25" s="62"/>
      <c r="M25" s="62"/>
      <c r="N25" s="77"/>
    </row>
    <row r="26" spans="1:14" ht="36.75" customHeight="1" thickBot="1">
      <c r="A26" s="1158"/>
      <c r="B26" s="1159" t="s">
        <v>340</v>
      </c>
      <c r="C26" s="1139" t="s">
        <v>324</v>
      </c>
      <c r="D26" s="1091"/>
      <c r="E26" s="1092"/>
      <c r="F26" s="352" t="s">
        <v>112</v>
      </c>
      <c r="G26" s="441" t="s">
        <v>79</v>
      </c>
      <c r="H26" s="939">
        <v>40</v>
      </c>
      <c r="I26" s="463">
        <f>H26*1.006</f>
        <v>40.24</v>
      </c>
      <c r="J26" s="463">
        <f>I26*1.006</f>
        <v>40.481439999999999</v>
      </c>
      <c r="K26" s="442" t="s">
        <v>543</v>
      </c>
      <c r="L26" s="469">
        <v>160</v>
      </c>
      <c r="M26" s="469">
        <v>170</v>
      </c>
      <c r="N26" s="470">
        <v>180</v>
      </c>
    </row>
    <row r="27" spans="1:14" ht="13.5" thickBot="1">
      <c r="A27" s="1158"/>
      <c r="B27" s="1158"/>
      <c r="C27" s="1259" t="s">
        <v>76</v>
      </c>
      <c r="D27" s="1315"/>
      <c r="E27" s="1315"/>
      <c r="F27" s="1315"/>
      <c r="G27" s="1316"/>
      <c r="H27" s="320">
        <f>SUM(H26)</f>
        <v>40</v>
      </c>
      <c r="I27" s="321">
        <f>SUM(I26)</f>
        <v>40.24</v>
      </c>
      <c r="J27" s="321">
        <f>SUM(J26)</f>
        <v>40.481439999999999</v>
      </c>
      <c r="K27" s="227"/>
      <c r="L27" s="62"/>
      <c r="M27" s="62"/>
      <c r="N27" s="77"/>
    </row>
    <row r="28" spans="1:14" ht="25.5" customHeight="1" thickBot="1">
      <c r="A28" s="1158"/>
      <c r="B28" s="1158"/>
      <c r="C28" s="1139" t="s">
        <v>789</v>
      </c>
      <c r="D28" s="1091"/>
      <c r="E28" s="1092"/>
      <c r="F28" s="352" t="s">
        <v>112</v>
      </c>
      <c r="G28" s="441" t="s">
        <v>79</v>
      </c>
      <c r="H28" s="939">
        <v>3</v>
      </c>
      <c r="I28" s="453">
        <f>H28*1.006</f>
        <v>3.0179999999999998</v>
      </c>
      <c r="J28" s="453">
        <f>I28*1.006</f>
        <v>3.036108</v>
      </c>
      <c r="K28" s="442" t="s">
        <v>544</v>
      </c>
      <c r="L28" s="469">
        <v>4</v>
      </c>
      <c r="M28" s="469">
        <v>4</v>
      </c>
      <c r="N28" s="470">
        <v>4</v>
      </c>
    </row>
    <row r="29" spans="1:14" ht="13.5" thickBot="1">
      <c r="A29" s="1158"/>
      <c r="B29" s="1158"/>
      <c r="C29" s="1259" t="s">
        <v>76</v>
      </c>
      <c r="D29" s="1315"/>
      <c r="E29" s="1315"/>
      <c r="F29" s="1315"/>
      <c r="G29" s="1316"/>
      <c r="H29" s="320">
        <f>SUM(H28)</f>
        <v>3</v>
      </c>
      <c r="I29" s="321">
        <f>SUM(I28)</f>
        <v>3.0179999999999998</v>
      </c>
      <c r="J29" s="321">
        <f>SUM(J28)</f>
        <v>3.036108</v>
      </c>
      <c r="K29" s="227"/>
      <c r="L29" s="62"/>
      <c r="M29" s="62"/>
      <c r="N29" s="77"/>
    </row>
    <row r="30" spans="1:14" ht="26.25" customHeight="1" thickBot="1">
      <c r="A30" s="1158"/>
      <c r="B30" s="1158"/>
      <c r="C30" s="1139" t="s">
        <v>790</v>
      </c>
      <c r="D30" s="1091"/>
      <c r="E30" s="1092"/>
      <c r="F30" s="352" t="s">
        <v>112</v>
      </c>
      <c r="G30" s="441" t="s">
        <v>79</v>
      </c>
      <c r="H30" s="939">
        <v>15</v>
      </c>
      <c r="I30" s="463">
        <f>H30*1.006</f>
        <v>15.09</v>
      </c>
      <c r="J30" s="463">
        <f>I30*1.006</f>
        <v>15.180540000000001</v>
      </c>
      <c r="K30" s="442" t="s">
        <v>545</v>
      </c>
      <c r="L30" s="469">
        <v>1</v>
      </c>
      <c r="M30" s="469">
        <v>1</v>
      </c>
      <c r="N30" s="470">
        <v>1</v>
      </c>
    </row>
    <row r="31" spans="1:14" ht="13.5" thickBot="1">
      <c r="A31" s="1158"/>
      <c r="B31" s="1158"/>
      <c r="C31" s="1317"/>
      <c r="D31" s="1318"/>
      <c r="E31" s="1319"/>
      <c r="F31" s="71"/>
      <c r="G31" s="428" t="s">
        <v>76</v>
      </c>
      <c r="H31" s="320">
        <f>SUM(H30)</f>
        <v>15</v>
      </c>
      <c r="I31" s="321">
        <f>SUM(I30)</f>
        <v>15.09</v>
      </c>
      <c r="J31" s="321">
        <f>SUM(J30)</f>
        <v>15.180540000000001</v>
      </c>
      <c r="K31" s="227"/>
      <c r="L31" s="62"/>
      <c r="M31" s="62"/>
      <c r="N31" s="77"/>
    </row>
    <row r="32" spans="1:14" ht="23.25" customHeight="1">
      <c r="A32" s="1158"/>
      <c r="B32" s="1158"/>
      <c r="C32" s="1333" t="s">
        <v>247</v>
      </c>
      <c r="D32" s="1333"/>
      <c r="E32" s="1334"/>
      <c r="F32" s="151" t="s">
        <v>133</v>
      </c>
      <c r="G32" s="189" t="s">
        <v>92</v>
      </c>
      <c r="H32" s="236">
        <v>12.8</v>
      </c>
      <c r="I32" s="236">
        <f t="shared" ref="I32:J54" si="0">H32*1.006</f>
        <v>12.876800000000001</v>
      </c>
      <c r="J32" s="236">
        <f t="shared" si="0"/>
        <v>12.954060800000001</v>
      </c>
      <c r="K32" s="63" t="s">
        <v>546</v>
      </c>
      <c r="L32" s="147">
        <v>42</v>
      </c>
      <c r="M32" s="147">
        <v>43</v>
      </c>
      <c r="N32" s="73">
        <v>45</v>
      </c>
    </row>
    <row r="33" spans="1:14" ht="23.25" customHeight="1">
      <c r="A33" s="1158"/>
      <c r="B33" s="1158"/>
      <c r="C33" s="1208"/>
      <c r="D33" s="1208"/>
      <c r="E33" s="1335"/>
      <c r="F33" s="151" t="s">
        <v>134</v>
      </c>
      <c r="G33" s="189" t="s">
        <v>92</v>
      </c>
      <c r="H33" s="387">
        <v>11.2</v>
      </c>
      <c r="I33" s="236">
        <f t="shared" si="0"/>
        <v>11.267199999999999</v>
      </c>
      <c r="J33" s="236">
        <f t="shared" si="0"/>
        <v>11.3348032</v>
      </c>
      <c r="K33" s="63" t="s">
        <v>546</v>
      </c>
      <c r="L33" s="147">
        <v>78</v>
      </c>
      <c r="M33" s="147">
        <v>80</v>
      </c>
      <c r="N33" s="73">
        <v>82</v>
      </c>
    </row>
    <row r="34" spans="1:14" ht="23.25" customHeight="1">
      <c r="A34" s="1158"/>
      <c r="B34" s="1158"/>
      <c r="C34" s="1208"/>
      <c r="D34" s="1208"/>
      <c r="E34" s="1335"/>
      <c r="F34" s="152" t="s">
        <v>136</v>
      </c>
      <c r="G34" s="189" t="s">
        <v>92</v>
      </c>
      <c r="H34" s="387">
        <v>21.9</v>
      </c>
      <c r="I34" s="236">
        <f t="shared" si="0"/>
        <v>22.031399999999998</v>
      </c>
      <c r="J34" s="236">
        <f t="shared" si="0"/>
        <v>22.163588399999998</v>
      </c>
      <c r="K34" s="63" t="s">
        <v>546</v>
      </c>
      <c r="L34" s="147">
        <v>122</v>
      </c>
      <c r="M34" s="147">
        <v>123</v>
      </c>
      <c r="N34" s="73">
        <v>125</v>
      </c>
    </row>
    <row r="35" spans="1:14" ht="23.25" customHeight="1">
      <c r="A35" s="1158"/>
      <c r="B35" s="1158"/>
      <c r="C35" s="1208"/>
      <c r="D35" s="1208"/>
      <c r="E35" s="1335"/>
      <c r="F35" s="152" t="s">
        <v>135</v>
      </c>
      <c r="G35" s="189" t="s">
        <v>92</v>
      </c>
      <c r="H35" s="155">
        <v>17.600000000000001</v>
      </c>
      <c r="I35" s="236">
        <f t="shared" si="0"/>
        <v>17.7056</v>
      </c>
      <c r="J35" s="236">
        <f t="shared" si="0"/>
        <v>17.8118336</v>
      </c>
      <c r="K35" s="63" t="s">
        <v>546</v>
      </c>
      <c r="L35" s="147">
        <v>101</v>
      </c>
      <c r="M35" s="147">
        <v>103</v>
      </c>
      <c r="N35" s="73">
        <v>105</v>
      </c>
    </row>
    <row r="36" spans="1:14" ht="23.25" customHeight="1">
      <c r="A36" s="1158"/>
      <c r="B36" s="1158"/>
      <c r="C36" s="1208"/>
      <c r="D36" s="1208"/>
      <c r="E36" s="1335"/>
      <c r="F36" s="152" t="s">
        <v>165</v>
      </c>
      <c r="G36" s="189" t="s">
        <v>92</v>
      </c>
      <c r="H36" s="155">
        <v>11.9</v>
      </c>
      <c r="I36" s="236">
        <f t="shared" si="0"/>
        <v>11.971400000000001</v>
      </c>
      <c r="J36" s="236">
        <f t="shared" si="0"/>
        <v>12.0432284</v>
      </c>
      <c r="K36" s="63" t="s">
        <v>546</v>
      </c>
      <c r="L36" s="147">
        <v>72</v>
      </c>
      <c r="M36" s="147">
        <v>73</v>
      </c>
      <c r="N36" s="73">
        <v>75</v>
      </c>
    </row>
    <row r="37" spans="1:14" ht="23.25" customHeight="1">
      <c r="A37" s="1158"/>
      <c r="B37" s="1158"/>
      <c r="C37" s="1208"/>
      <c r="D37" s="1208"/>
      <c r="E37" s="1335"/>
      <c r="F37" s="152" t="s">
        <v>166</v>
      </c>
      <c r="G37" s="189" t="s">
        <v>92</v>
      </c>
      <c r="H37" s="389">
        <v>19</v>
      </c>
      <c r="I37" s="236">
        <f t="shared" si="0"/>
        <v>19.114000000000001</v>
      </c>
      <c r="J37" s="236">
        <f t="shared" si="0"/>
        <v>19.228684000000001</v>
      </c>
      <c r="K37" s="63" t="s">
        <v>546</v>
      </c>
      <c r="L37" s="147">
        <v>113</v>
      </c>
      <c r="M37" s="147">
        <v>115</v>
      </c>
      <c r="N37" s="73">
        <v>117</v>
      </c>
    </row>
    <row r="38" spans="1:14" ht="23.25" customHeight="1">
      <c r="A38" s="1158"/>
      <c r="B38" s="1158"/>
      <c r="C38" s="1208"/>
      <c r="D38" s="1208"/>
      <c r="E38" s="1335"/>
      <c r="F38" s="152" t="s">
        <v>167</v>
      </c>
      <c r="G38" s="189" t="s">
        <v>92</v>
      </c>
      <c r="H38" s="389">
        <v>14</v>
      </c>
      <c r="I38" s="236">
        <f t="shared" si="0"/>
        <v>14.084</v>
      </c>
      <c r="J38" s="236">
        <f t="shared" si="0"/>
        <v>14.168504</v>
      </c>
      <c r="K38" s="63" t="s">
        <v>546</v>
      </c>
      <c r="L38" s="147">
        <v>80</v>
      </c>
      <c r="M38" s="147">
        <v>80</v>
      </c>
      <c r="N38" s="73">
        <v>80</v>
      </c>
    </row>
    <row r="39" spans="1:14" ht="35.25" customHeight="1">
      <c r="A39" s="1158"/>
      <c r="B39" s="1158"/>
      <c r="C39" s="1208"/>
      <c r="D39" s="1208"/>
      <c r="E39" s="1335"/>
      <c r="F39" s="151" t="s">
        <v>168</v>
      </c>
      <c r="G39" s="189" t="s">
        <v>92</v>
      </c>
      <c r="H39" s="388">
        <v>9.6999999999999993</v>
      </c>
      <c r="I39" s="236">
        <f t="shared" si="0"/>
        <v>9.7581999999999987</v>
      </c>
      <c r="J39" s="236">
        <f t="shared" si="0"/>
        <v>9.8167491999999985</v>
      </c>
      <c r="K39" s="63" t="s">
        <v>546</v>
      </c>
      <c r="L39" s="147">
        <v>47</v>
      </c>
      <c r="M39" s="147">
        <v>47</v>
      </c>
      <c r="N39" s="73">
        <v>47</v>
      </c>
    </row>
    <row r="40" spans="1:14" ht="23.25" customHeight="1">
      <c r="A40" s="1158"/>
      <c r="B40" s="1158"/>
      <c r="C40" s="1208"/>
      <c r="D40" s="1208"/>
      <c r="E40" s="1335"/>
      <c r="F40" s="152" t="s">
        <v>169</v>
      </c>
      <c r="G40" s="189" t="s">
        <v>92</v>
      </c>
      <c r="H40" s="388">
        <v>11.4</v>
      </c>
      <c r="I40" s="236">
        <f t="shared" si="0"/>
        <v>11.468400000000001</v>
      </c>
      <c r="J40" s="236">
        <f t="shared" si="0"/>
        <v>11.537210400000001</v>
      </c>
      <c r="K40" s="63" t="s">
        <v>546</v>
      </c>
      <c r="L40" s="147">
        <v>59</v>
      </c>
      <c r="M40" s="147">
        <v>59</v>
      </c>
      <c r="N40" s="73">
        <v>59</v>
      </c>
    </row>
    <row r="41" spans="1:14" ht="23.25" customHeight="1">
      <c r="A41" s="1158"/>
      <c r="B41" s="1158"/>
      <c r="C41" s="1208"/>
      <c r="D41" s="1208"/>
      <c r="E41" s="1335"/>
      <c r="F41" s="152" t="s">
        <v>170</v>
      </c>
      <c r="G41" s="189" t="s">
        <v>92</v>
      </c>
      <c r="H41" s="388">
        <v>10.3</v>
      </c>
      <c r="I41" s="236">
        <f t="shared" si="0"/>
        <v>10.361800000000001</v>
      </c>
      <c r="J41" s="236">
        <f t="shared" si="0"/>
        <v>10.423970800000001</v>
      </c>
      <c r="K41" s="63" t="s">
        <v>546</v>
      </c>
      <c r="L41" s="147">
        <v>50</v>
      </c>
      <c r="M41" s="147">
        <v>50</v>
      </c>
      <c r="N41" s="73">
        <v>50</v>
      </c>
    </row>
    <row r="42" spans="1:14" ht="37.5" customHeight="1">
      <c r="A42" s="1158"/>
      <c r="B42" s="1158"/>
      <c r="C42" s="1208"/>
      <c r="D42" s="1208"/>
      <c r="E42" s="1335"/>
      <c r="F42" s="153" t="s">
        <v>171</v>
      </c>
      <c r="G42" s="189" t="s">
        <v>92</v>
      </c>
      <c r="H42" s="388">
        <v>46.3</v>
      </c>
      <c r="I42" s="236">
        <f t="shared" si="0"/>
        <v>46.577799999999996</v>
      </c>
      <c r="J42" s="236">
        <f t="shared" si="0"/>
        <v>46.857266799999998</v>
      </c>
      <c r="K42" s="63" t="s">
        <v>546</v>
      </c>
      <c r="L42" s="147">
        <v>262</v>
      </c>
      <c r="M42" s="147">
        <v>262</v>
      </c>
      <c r="N42" s="73">
        <v>262</v>
      </c>
    </row>
    <row r="43" spans="1:14" ht="37.5" customHeight="1">
      <c r="A43" s="1158"/>
      <c r="B43" s="1158"/>
      <c r="C43" s="1208"/>
      <c r="D43" s="1208"/>
      <c r="E43" s="1335"/>
      <c r="F43" s="152" t="s">
        <v>172</v>
      </c>
      <c r="G43" s="189" t="s">
        <v>92</v>
      </c>
      <c r="H43" s="388">
        <v>10.3</v>
      </c>
      <c r="I43" s="236">
        <f t="shared" si="0"/>
        <v>10.361800000000001</v>
      </c>
      <c r="J43" s="236">
        <f t="shared" si="0"/>
        <v>10.423970800000001</v>
      </c>
      <c r="K43" s="63" t="s">
        <v>546</v>
      </c>
      <c r="L43" s="147">
        <v>59</v>
      </c>
      <c r="M43" s="147">
        <v>59</v>
      </c>
      <c r="N43" s="73">
        <v>59</v>
      </c>
    </row>
    <row r="44" spans="1:14" ht="23.25" customHeight="1">
      <c r="A44" s="1158"/>
      <c r="B44" s="1158"/>
      <c r="C44" s="1208"/>
      <c r="D44" s="1208"/>
      <c r="E44" s="1335"/>
      <c r="F44" s="152" t="s">
        <v>191</v>
      </c>
      <c r="G44" s="189" t="s">
        <v>92</v>
      </c>
      <c r="H44" s="388">
        <v>0.4</v>
      </c>
      <c r="I44" s="236">
        <f t="shared" si="0"/>
        <v>0.40240000000000004</v>
      </c>
      <c r="J44" s="236">
        <f t="shared" si="0"/>
        <v>0.40481440000000002</v>
      </c>
      <c r="K44" s="63" t="s">
        <v>546</v>
      </c>
      <c r="L44" s="147">
        <v>18</v>
      </c>
      <c r="M44" s="147">
        <v>18</v>
      </c>
      <c r="N44" s="73">
        <v>18</v>
      </c>
    </row>
    <row r="45" spans="1:14" ht="23.25" customHeight="1">
      <c r="A45" s="1158"/>
      <c r="B45" s="1158"/>
      <c r="C45" s="1208"/>
      <c r="D45" s="1208"/>
      <c r="E45" s="1335"/>
      <c r="F45" s="152" t="s">
        <v>173</v>
      </c>
      <c r="G45" s="189" t="s">
        <v>92</v>
      </c>
      <c r="H45" s="388">
        <v>7.3</v>
      </c>
      <c r="I45" s="236">
        <f t="shared" si="0"/>
        <v>7.3437999999999999</v>
      </c>
      <c r="J45" s="236">
        <f t="shared" si="0"/>
        <v>7.3878627999999997</v>
      </c>
      <c r="K45" s="63" t="s">
        <v>546</v>
      </c>
      <c r="L45" s="147">
        <v>42</v>
      </c>
      <c r="M45" s="147">
        <v>42</v>
      </c>
      <c r="N45" s="73">
        <v>42</v>
      </c>
    </row>
    <row r="46" spans="1:14" ht="23.25" customHeight="1">
      <c r="A46" s="1158"/>
      <c r="B46" s="1158"/>
      <c r="C46" s="1208"/>
      <c r="D46" s="1208"/>
      <c r="E46" s="1335"/>
      <c r="F46" s="152" t="s">
        <v>174</v>
      </c>
      <c r="G46" s="189" t="s">
        <v>92</v>
      </c>
      <c r="H46" s="388">
        <v>8.6999999999999993</v>
      </c>
      <c r="I46" s="236">
        <f t="shared" si="0"/>
        <v>8.7522000000000002</v>
      </c>
      <c r="J46" s="236">
        <f t="shared" si="0"/>
        <v>8.8047132000000001</v>
      </c>
      <c r="K46" s="63" t="s">
        <v>546</v>
      </c>
      <c r="L46" s="147">
        <v>49</v>
      </c>
      <c r="M46" s="147">
        <v>49</v>
      </c>
      <c r="N46" s="73">
        <v>49</v>
      </c>
    </row>
    <row r="47" spans="1:14" ht="23.25" customHeight="1">
      <c r="A47" s="1158"/>
      <c r="B47" s="1158"/>
      <c r="C47" s="1208"/>
      <c r="D47" s="1208"/>
      <c r="E47" s="1335"/>
      <c r="F47" s="152" t="s">
        <v>175</v>
      </c>
      <c r="G47" s="189" t="s">
        <v>92</v>
      </c>
      <c r="H47" s="388">
        <v>7.4</v>
      </c>
      <c r="I47" s="236">
        <f t="shared" si="0"/>
        <v>7.4444000000000008</v>
      </c>
      <c r="J47" s="236">
        <f t="shared" si="0"/>
        <v>7.4890664000000005</v>
      </c>
      <c r="K47" s="63" t="s">
        <v>546</v>
      </c>
      <c r="L47" s="147">
        <v>36</v>
      </c>
      <c r="M47" s="147">
        <v>36</v>
      </c>
      <c r="N47" s="73">
        <v>36</v>
      </c>
    </row>
    <row r="48" spans="1:14" ht="23.25" customHeight="1">
      <c r="A48" s="1158"/>
      <c r="B48" s="1158"/>
      <c r="C48" s="1208"/>
      <c r="D48" s="1208"/>
      <c r="E48" s="1335"/>
      <c r="F48" s="152" t="s">
        <v>176</v>
      </c>
      <c r="G48" s="189" t="s">
        <v>92</v>
      </c>
      <c r="H48" s="389">
        <v>8.1</v>
      </c>
      <c r="I48" s="236">
        <f t="shared" si="0"/>
        <v>8.1486000000000001</v>
      </c>
      <c r="J48" s="236">
        <f t="shared" si="0"/>
        <v>8.1974915999999993</v>
      </c>
      <c r="K48" s="63" t="s">
        <v>546</v>
      </c>
      <c r="L48" s="147">
        <v>53</v>
      </c>
      <c r="M48" s="147">
        <v>53</v>
      </c>
      <c r="N48" s="73">
        <v>53</v>
      </c>
    </row>
    <row r="49" spans="1:14" ht="23.25" customHeight="1">
      <c r="A49" s="1158"/>
      <c r="B49" s="1158"/>
      <c r="C49" s="1208"/>
      <c r="D49" s="1208"/>
      <c r="E49" s="1335"/>
      <c r="F49" s="158" t="s">
        <v>130</v>
      </c>
      <c r="G49" s="189" t="s">
        <v>92</v>
      </c>
      <c r="H49" s="389">
        <v>2</v>
      </c>
      <c r="I49" s="236">
        <f t="shared" si="0"/>
        <v>2.012</v>
      </c>
      <c r="J49" s="236">
        <f t="shared" si="0"/>
        <v>2.0240719999999999</v>
      </c>
      <c r="K49" s="63" t="s">
        <v>546</v>
      </c>
      <c r="L49" s="147">
        <v>33</v>
      </c>
      <c r="M49" s="147">
        <v>33</v>
      </c>
      <c r="N49" s="73">
        <v>33</v>
      </c>
    </row>
    <row r="50" spans="1:14" ht="23.25" customHeight="1">
      <c r="A50" s="1158"/>
      <c r="B50" s="1158"/>
      <c r="C50" s="1208"/>
      <c r="D50" s="1208"/>
      <c r="E50" s="1335"/>
      <c r="F50" s="159" t="s">
        <v>131</v>
      </c>
      <c r="G50" s="189" t="s">
        <v>92</v>
      </c>
      <c r="H50" s="388">
        <v>0.8</v>
      </c>
      <c r="I50" s="236">
        <f t="shared" si="0"/>
        <v>0.80480000000000007</v>
      </c>
      <c r="J50" s="236">
        <f t="shared" si="0"/>
        <v>0.80962880000000004</v>
      </c>
      <c r="K50" s="63" t="s">
        <v>546</v>
      </c>
      <c r="L50" s="147">
        <v>10</v>
      </c>
      <c r="M50" s="147">
        <v>10</v>
      </c>
      <c r="N50" s="73">
        <v>10</v>
      </c>
    </row>
    <row r="51" spans="1:14" ht="23.25" customHeight="1">
      <c r="A51" s="1158"/>
      <c r="B51" s="1158"/>
      <c r="C51" s="1208"/>
      <c r="D51" s="1208"/>
      <c r="E51" s="1335"/>
      <c r="F51" s="158" t="s">
        <v>117</v>
      </c>
      <c r="G51" s="189" t="s">
        <v>92</v>
      </c>
      <c r="H51" s="388">
        <v>0.9</v>
      </c>
      <c r="I51" s="236">
        <f t="shared" si="0"/>
        <v>0.90539999999999998</v>
      </c>
      <c r="J51" s="236">
        <f t="shared" si="0"/>
        <v>0.91083239999999999</v>
      </c>
      <c r="K51" s="63" t="s">
        <v>546</v>
      </c>
      <c r="L51" s="147">
        <v>5</v>
      </c>
      <c r="M51" s="147">
        <v>5</v>
      </c>
      <c r="N51" s="73">
        <v>5</v>
      </c>
    </row>
    <row r="52" spans="1:14" ht="23.25" customHeight="1">
      <c r="A52" s="1158"/>
      <c r="B52" s="1158"/>
      <c r="C52" s="1208"/>
      <c r="D52" s="1208"/>
      <c r="E52" s="1335"/>
      <c r="F52" s="158" t="s">
        <v>116</v>
      </c>
      <c r="G52" s="189" t="s">
        <v>92</v>
      </c>
      <c r="H52" s="389">
        <v>2.6</v>
      </c>
      <c r="I52" s="236">
        <f t="shared" si="0"/>
        <v>2.6156000000000001</v>
      </c>
      <c r="J52" s="236">
        <f t="shared" si="0"/>
        <v>2.6312936000000002</v>
      </c>
      <c r="K52" s="63" t="s">
        <v>546</v>
      </c>
      <c r="L52" s="147">
        <v>15</v>
      </c>
      <c r="M52" s="147">
        <v>15</v>
      </c>
      <c r="N52" s="73">
        <v>15</v>
      </c>
    </row>
    <row r="53" spans="1:14" ht="23.25" customHeight="1">
      <c r="A53" s="1158"/>
      <c r="B53" s="1158"/>
      <c r="C53" s="1208"/>
      <c r="D53" s="1208"/>
      <c r="E53" s="1335"/>
      <c r="F53" s="158" t="s">
        <v>132</v>
      </c>
      <c r="G53" s="189" t="s">
        <v>92</v>
      </c>
      <c r="H53" s="388">
        <v>0.9</v>
      </c>
      <c r="I53" s="236">
        <f t="shared" si="0"/>
        <v>0.90539999999999998</v>
      </c>
      <c r="J53" s="236">
        <f t="shared" si="0"/>
        <v>0.91083239999999999</v>
      </c>
      <c r="K53" s="63" t="s">
        <v>546</v>
      </c>
      <c r="L53" s="147">
        <v>10</v>
      </c>
      <c r="M53" s="147">
        <v>10</v>
      </c>
      <c r="N53" s="73">
        <v>10</v>
      </c>
    </row>
    <row r="54" spans="1:14" ht="23.25" customHeight="1" thickBot="1">
      <c r="A54" s="1158"/>
      <c r="B54" s="1158"/>
      <c r="C54" s="1208"/>
      <c r="D54" s="1208"/>
      <c r="E54" s="1335"/>
      <c r="F54" s="622" t="s">
        <v>115</v>
      </c>
      <c r="G54" s="106" t="s">
        <v>92</v>
      </c>
      <c r="H54" s="623">
        <v>1.2</v>
      </c>
      <c r="I54" s="74">
        <f t="shared" si="0"/>
        <v>1.2072000000000001</v>
      </c>
      <c r="J54" s="74">
        <f t="shared" si="0"/>
        <v>1.2144432000000001</v>
      </c>
      <c r="K54" s="237" t="s">
        <v>546</v>
      </c>
      <c r="L54" s="624">
        <v>10</v>
      </c>
      <c r="M54" s="624">
        <v>10</v>
      </c>
      <c r="N54" s="625">
        <v>10</v>
      </c>
    </row>
    <row r="55" spans="1:14" ht="22.5" thickBot="1">
      <c r="A55" s="1158"/>
      <c r="B55" s="1158"/>
      <c r="C55" s="1100" t="s">
        <v>76</v>
      </c>
      <c r="D55" s="1255"/>
      <c r="E55" s="1255"/>
      <c r="F55" s="1255"/>
      <c r="G55" s="1256"/>
      <c r="H55" s="320">
        <f>SUM(H32:H54)</f>
        <v>236.70000000000005</v>
      </c>
      <c r="I55" s="321">
        <f>SUM(I32:I54)</f>
        <v>238.12019999999993</v>
      </c>
      <c r="J55" s="321">
        <f>SUM(J32:J54)</f>
        <v>239.54892120000002</v>
      </c>
      <c r="K55" s="82" t="s">
        <v>546</v>
      </c>
      <c r="L55" s="471">
        <f>L32+L33+L34+L35+L36+L37+L38+L39+L40+L41+L42+L43+L44+L45+L46+L47+L48+L49+L50+L51+L52+L53+L54</f>
        <v>1366</v>
      </c>
      <c r="M55" s="471">
        <f>M32+M33+M34+M35+M36+M37+M38+M39+M40+M41+M42+M43+M44+M45+M46+M47+M48+M49+M50+M51+M52+M53+M54</f>
        <v>1375</v>
      </c>
      <c r="N55" s="472">
        <f>N32+N33+N34+N35+N36+N37+N38+N39+N40+N41+N42+N43+N44+N45+N46+N47+N48+N49+N50+N51+N52+N53+N54</f>
        <v>1387</v>
      </c>
    </row>
    <row r="56" spans="1:14" ht="23.25" customHeight="1" thickBot="1">
      <c r="A56" s="1158"/>
      <c r="B56" s="1158"/>
      <c r="C56" s="1141" t="s">
        <v>791</v>
      </c>
      <c r="D56" s="1164"/>
      <c r="E56" s="1165"/>
      <c r="F56" s="352" t="s">
        <v>112</v>
      </c>
      <c r="G56" s="441" t="s">
        <v>92</v>
      </c>
      <c r="H56" s="941">
        <v>60.1</v>
      </c>
      <c r="I56" s="463">
        <f>H56*1.006</f>
        <v>60.460599999999999</v>
      </c>
      <c r="J56" s="463">
        <f>I56*1.006</f>
        <v>60.8233636</v>
      </c>
      <c r="K56" s="63" t="s">
        <v>546</v>
      </c>
      <c r="L56" s="469">
        <v>1200</v>
      </c>
      <c r="M56" s="469">
        <v>1300</v>
      </c>
      <c r="N56" s="470">
        <v>1300</v>
      </c>
    </row>
    <row r="57" spans="1:14" ht="13.5" thickBot="1">
      <c r="A57" s="1158"/>
      <c r="B57" s="1158"/>
      <c r="C57" s="1100" t="s">
        <v>76</v>
      </c>
      <c r="D57" s="1315"/>
      <c r="E57" s="1315"/>
      <c r="F57" s="1315"/>
      <c r="G57" s="1316"/>
      <c r="H57" s="320">
        <f>SUM(H56)</f>
        <v>60.1</v>
      </c>
      <c r="I57" s="321">
        <f>SUM(I56)</f>
        <v>60.460599999999999</v>
      </c>
      <c r="J57" s="321">
        <f>SUM(J56)</f>
        <v>60.8233636</v>
      </c>
      <c r="K57" s="79"/>
      <c r="L57" s="62"/>
      <c r="M57" s="62"/>
      <c r="N57" s="77"/>
    </row>
    <row r="58" spans="1:14" ht="23.25" thickBot="1">
      <c r="A58" s="1158"/>
      <c r="B58" s="1158"/>
      <c r="C58" s="1090" t="s">
        <v>792</v>
      </c>
      <c r="D58" s="1091"/>
      <c r="E58" s="1092"/>
      <c r="F58" s="353" t="s">
        <v>112</v>
      </c>
      <c r="G58" s="479" t="s">
        <v>92</v>
      </c>
      <c r="H58" s="936">
        <v>210.2</v>
      </c>
      <c r="I58" s="439">
        <f>H58*1.006</f>
        <v>211.46119999999999</v>
      </c>
      <c r="J58" s="439">
        <f>I58*1.006</f>
        <v>212.7299672</v>
      </c>
      <c r="K58" s="255" t="s">
        <v>547</v>
      </c>
      <c r="L58" s="270">
        <v>630</v>
      </c>
      <c r="M58" s="270">
        <v>635</v>
      </c>
      <c r="N58" s="271">
        <v>640</v>
      </c>
    </row>
    <row r="59" spans="1:14" ht="13.5" thickBot="1">
      <c r="A59" s="1158"/>
      <c r="B59" s="1158"/>
      <c r="C59" s="1100" t="s">
        <v>76</v>
      </c>
      <c r="D59" s="1315"/>
      <c r="E59" s="1315"/>
      <c r="F59" s="1315"/>
      <c r="G59" s="1316"/>
      <c r="H59" s="315">
        <f>SUM(H58:H58)</f>
        <v>210.2</v>
      </c>
      <c r="I59" s="316">
        <f>SUM(I58:I58)</f>
        <v>211.46119999999999</v>
      </c>
      <c r="J59" s="316">
        <f>SUM(J58:J58)</f>
        <v>212.7299672</v>
      </c>
      <c r="K59" s="229"/>
      <c r="L59" s="266"/>
      <c r="M59" s="266"/>
      <c r="N59" s="267"/>
    </row>
    <row r="60" spans="1:14" ht="13.5" thickBot="1">
      <c r="A60" s="1158"/>
      <c r="B60" s="1100" t="s">
        <v>77</v>
      </c>
      <c r="C60" s="1255"/>
      <c r="D60" s="1255"/>
      <c r="E60" s="1255"/>
      <c r="F60" s="1255"/>
      <c r="G60" s="1255"/>
      <c r="H60" s="320">
        <f>H55+H31+H29+H27+H57+H59</f>
        <v>565</v>
      </c>
      <c r="I60" s="321">
        <f>I55+I31+I29+I27+I57+I59</f>
        <v>568.38999999999987</v>
      </c>
      <c r="J60" s="321">
        <f>J55+J31+J29+J27+J57+J59</f>
        <v>571.80034000000001</v>
      </c>
      <c r="K60" s="205"/>
      <c r="L60" s="62"/>
      <c r="M60" s="62"/>
      <c r="N60" s="77"/>
    </row>
    <row r="61" spans="1:14" ht="30" customHeight="1" thickBot="1">
      <c r="A61" s="1158"/>
      <c r="B61" s="1159" t="s">
        <v>522</v>
      </c>
      <c r="C61" s="1090" t="s">
        <v>42</v>
      </c>
      <c r="D61" s="1091"/>
      <c r="E61" s="1092"/>
      <c r="F61" s="342" t="s">
        <v>112</v>
      </c>
      <c r="G61" s="441" t="s">
        <v>79</v>
      </c>
      <c r="H61" s="455">
        <v>35.9</v>
      </c>
      <c r="I61" s="463">
        <f>H61*1.006</f>
        <v>36.115400000000001</v>
      </c>
      <c r="J61" s="463">
        <f>I61*1.006</f>
        <v>36.332092400000001</v>
      </c>
      <c r="K61" s="415" t="s">
        <v>249</v>
      </c>
      <c r="L61" s="469">
        <f>9232+4106</f>
        <v>13338</v>
      </c>
      <c r="M61" s="469">
        <v>13340</v>
      </c>
      <c r="N61" s="470">
        <v>13340</v>
      </c>
    </row>
    <row r="62" spans="1:14" ht="13.5" thickBot="1">
      <c r="A62" s="1158"/>
      <c r="B62" s="1158"/>
      <c r="C62" s="1126" t="s">
        <v>76</v>
      </c>
      <c r="D62" s="1129"/>
      <c r="E62" s="1129"/>
      <c r="F62" s="1129"/>
      <c r="G62" s="1130"/>
      <c r="H62" s="81">
        <f>SUM(H61)</f>
        <v>35.9</v>
      </c>
      <c r="I62" s="70">
        <f>SUM(I61)</f>
        <v>36.115400000000001</v>
      </c>
      <c r="J62" s="70">
        <f>SUM(J61)</f>
        <v>36.332092400000001</v>
      </c>
      <c r="K62" s="72"/>
      <c r="L62" s="62"/>
      <c r="M62" s="62"/>
      <c r="N62" s="77"/>
    </row>
    <row r="63" spans="1:14" ht="13.5" thickBot="1">
      <c r="A63" s="1158"/>
      <c r="B63" s="1126" t="s">
        <v>77</v>
      </c>
      <c r="C63" s="1129"/>
      <c r="D63" s="1129"/>
      <c r="E63" s="1129"/>
      <c r="F63" s="1129"/>
      <c r="G63" s="1130"/>
      <c r="H63" s="83">
        <f>H62</f>
        <v>35.9</v>
      </c>
      <c r="I63" s="84">
        <f>I62</f>
        <v>36.115400000000001</v>
      </c>
      <c r="J63" s="84">
        <f>J62</f>
        <v>36.332092400000001</v>
      </c>
      <c r="K63" s="85"/>
      <c r="L63" s="473"/>
      <c r="M63" s="473"/>
      <c r="N63" s="474"/>
    </row>
    <row r="64" spans="1:14" ht="13.5" thickBot="1">
      <c r="A64" s="1258" t="s">
        <v>7</v>
      </c>
      <c r="B64" s="1350"/>
      <c r="C64" s="1351"/>
      <c r="D64" s="1351"/>
      <c r="E64" s="1351"/>
      <c r="F64" s="1351"/>
      <c r="G64" s="1351"/>
      <c r="H64" s="203">
        <f>H25+H60+H63</f>
        <v>9634.9</v>
      </c>
      <c r="I64" s="200">
        <f>I25+I60+I63</f>
        <v>9692.7093999999997</v>
      </c>
      <c r="J64" s="200">
        <f>J25+J60+J63</f>
        <v>9750.8656563999994</v>
      </c>
      <c r="K64" s="268"/>
      <c r="L64" s="266"/>
      <c r="M64" s="266"/>
      <c r="N64" s="267"/>
    </row>
    <row r="65" spans="1:14" ht="22.5">
      <c r="A65" s="1159" t="s">
        <v>35</v>
      </c>
      <c r="B65" s="1352" t="s">
        <v>36</v>
      </c>
      <c r="C65" s="1090" t="s">
        <v>111</v>
      </c>
      <c r="D65" s="1091"/>
      <c r="E65" s="1092"/>
      <c r="F65" s="1201" t="s">
        <v>119</v>
      </c>
      <c r="G65" s="429" t="s">
        <v>79</v>
      </c>
      <c r="H65" s="935">
        <f>349.9-20-64.9</f>
        <v>265</v>
      </c>
      <c r="I65" s="431">
        <f t="shared" ref="I65:J68" si="1">H65*1.006</f>
        <v>266.58999999999997</v>
      </c>
      <c r="J65" s="431">
        <f t="shared" si="1"/>
        <v>268.18953999999997</v>
      </c>
      <c r="K65" s="308" t="s">
        <v>248</v>
      </c>
      <c r="L65" s="269">
        <v>34</v>
      </c>
      <c r="M65" s="269">
        <v>35</v>
      </c>
      <c r="N65" s="275">
        <v>35</v>
      </c>
    </row>
    <row r="66" spans="1:14">
      <c r="A66" s="1157"/>
      <c r="B66" s="1379"/>
      <c r="C66" s="1141"/>
      <c r="D66" s="1164"/>
      <c r="E66" s="1165"/>
      <c r="F66" s="1381"/>
      <c r="G66" s="479" t="s">
        <v>92</v>
      </c>
      <c r="H66" s="398">
        <v>20</v>
      </c>
      <c r="I66" s="451">
        <f>H66*1.006</f>
        <v>20.12</v>
      </c>
      <c r="J66" s="451">
        <f>I66*1.006</f>
        <v>20.24072</v>
      </c>
      <c r="K66" s="204" t="s">
        <v>328</v>
      </c>
      <c r="L66" s="270">
        <v>20</v>
      </c>
      <c r="M66" s="270">
        <v>20</v>
      </c>
      <c r="N66" s="271">
        <v>20</v>
      </c>
    </row>
    <row r="67" spans="1:14" ht="33.75" customHeight="1">
      <c r="A67" s="1158"/>
      <c r="B67" s="1353"/>
      <c r="C67" s="1380"/>
      <c r="D67" s="1164"/>
      <c r="E67" s="1165"/>
      <c r="F67" s="1199"/>
      <c r="G67" s="479" t="s">
        <v>80</v>
      </c>
      <c r="H67" s="947">
        <v>64.900000000000006</v>
      </c>
      <c r="I67" s="460">
        <f t="shared" si="1"/>
        <v>65.289400000000001</v>
      </c>
      <c r="J67" s="460">
        <f t="shared" si="1"/>
        <v>65.6811364</v>
      </c>
      <c r="K67" s="204" t="s">
        <v>326</v>
      </c>
      <c r="L67" s="270">
        <v>8</v>
      </c>
      <c r="M67" s="270">
        <v>8</v>
      </c>
      <c r="N67" s="271">
        <v>8</v>
      </c>
    </row>
    <row r="68" spans="1:14" ht="25.5" customHeight="1" thickBot="1">
      <c r="A68" s="1158"/>
      <c r="B68" s="1353"/>
      <c r="C68" s="1146"/>
      <c r="D68" s="1147"/>
      <c r="E68" s="1148"/>
      <c r="F68" s="390" t="s">
        <v>112</v>
      </c>
      <c r="G68" s="475" t="s">
        <v>79</v>
      </c>
      <c r="H68" s="936">
        <f>13.5+7.3</f>
        <v>20.8</v>
      </c>
      <c r="I68" s="906">
        <f t="shared" si="1"/>
        <v>20.924800000000001</v>
      </c>
      <c r="J68" s="906">
        <f t="shared" si="1"/>
        <v>21.050348800000002</v>
      </c>
      <c r="K68" s="910" t="s">
        <v>327</v>
      </c>
      <c r="L68" s="709">
        <v>20</v>
      </c>
      <c r="M68" s="709">
        <v>20</v>
      </c>
      <c r="N68" s="920">
        <v>20</v>
      </c>
    </row>
    <row r="69" spans="1:14" ht="13.5" thickBot="1">
      <c r="A69" s="1158"/>
      <c r="B69" s="1353"/>
      <c r="C69" s="1100" t="s">
        <v>76</v>
      </c>
      <c r="D69" s="1255"/>
      <c r="E69" s="1255"/>
      <c r="F69" s="1255"/>
      <c r="G69" s="1255"/>
      <c r="H69" s="320">
        <f>SUM(H65:H68)</f>
        <v>370.7</v>
      </c>
      <c r="I69" s="321">
        <f t="shared" ref="I69:J69" si="2">SUM(I65:I68)</f>
        <v>372.92419999999998</v>
      </c>
      <c r="J69" s="321">
        <f t="shared" si="2"/>
        <v>375.16174519999998</v>
      </c>
      <c r="K69" s="921"/>
      <c r="L69" s="922"/>
      <c r="M69" s="922"/>
      <c r="N69" s="923"/>
    </row>
    <row r="70" spans="1:14" ht="30" customHeight="1" thickBot="1">
      <c r="A70" s="1158"/>
      <c r="B70" s="1353"/>
      <c r="C70" s="1142" t="s">
        <v>763</v>
      </c>
      <c r="D70" s="1164"/>
      <c r="E70" s="1165"/>
      <c r="F70" s="903" t="s">
        <v>119</v>
      </c>
      <c r="G70" s="902" t="s">
        <v>79</v>
      </c>
      <c r="H70" s="939">
        <v>11.9</v>
      </c>
      <c r="I70" s="909">
        <v>0</v>
      </c>
      <c r="J70" s="909">
        <f>I70*1.006</f>
        <v>0</v>
      </c>
      <c r="K70" s="244" t="s">
        <v>346</v>
      </c>
      <c r="L70" s="904">
        <v>100</v>
      </c>
      <c r="M70" s="904"/>
      <c r="N70" s="905"/>
    </row>
    <row r="71" spans="1:14" ht="13.5" thickBot="1">
      <c r="A71" s="1158"/>
      <c r="B71" s="1353"/>
      <c r="C71" s="1100" t="s">
        <v>76</v>
      </c>
      <c r="D71" s="1255"/>
      <c r="E71" s="1255"/>
      <c r="F71" s="1255"/>
      <c r="G71" s="1255"/>
      <c r="H71" s="320">
        <f>H70</f>
        <v>11.9</v>
      </c>
      <c r="I71" s="321">
        <f t="shared" ref="I71:J71" si="3">I70</f>
        <v>0</v>
      </c>
      <c r="J71" s="321">
        <f t="shared" si="3"/>
        <v>0</v>
      </c>
      <c r="K71" s="921"/>
      <c r="L71" s="922"/>
      <c r="M71" s="922"/>
      <c r="N71" s="923"/>
    </row>
    <row r="72" spans="1:14" ht="27.75" customHeight="1" thickBot="1">
      <c r="A72" s="1158"/>
      <c r="B72" s="1353"/>
      <c r="C72" s="1142" t="s">
        <v>764</v>
      </c>
      <c r="D72" s="1164"/>
      <c r="E72" s="1165"/>
      <c r="F72" s="903" t="s">
        <v>119</v>
      </c>
      <c r="G72" s="902" t="s">
        <v>79</v>
      </c>
      <c r="H72" s="939">
        <v>2.8</v>
      </c>
      <c r="I72" s="909">
        <v>0</v>
      </c>
      <c r="J72" s="909">
        <v>0</v>
      </c>
      <c r="K72" s="244" t="s">
        <v>346</v>
      </c>
      <c r="L72" s="904">
        <v>100</v>
      </c>
      <c r="M72" s="904"/>
      <c r="N72" s="905"/>
    </row>
    <row r="73" spans="1:14" ht="13.5" thickBot="1">
      <c r="A73" s="1158"/>
      <c r="B73" s="1353"/>
      <c r="C73" s="1100" t="s">
        <v>76</v>
      </c>
      <c r="D73" s="1255"/>
      <c r="E73" s="1255"/>
      <c r="F73" s="1255"/>
      <c r="G73" s="1255"/>
      <c r="H73" s="320">
        <f>H72</f>
        <v>2.8</v>
      </c>
      <c r="I73" s="321">
        <f t="shared" ref="I73" si="4">I72</f>
        <v>0</v>
      </c>
      <c r="J73" s="321">
        <f t="shared" ref="J73" si="5">J72</f>
        <v>0</v>
      </c>
      <c r="K73" s="921"/>
      <c r="L73" s="922"/>
      <c r="M73" s="922"/>
      <c r="N73" s="923"/>
    </row>
    <row r="74" spans="1:14" ht="31.5" customHeight="1" thickBot="1">
      <c r="A74" s="1158"/>
      <c r="B74" s="1353"/>
      <c r="C74" s="1142" t="s">
        <v>766</v>
      </c>
      <c r="D74" s="1164"/>
      <c r="E74" s="1165"/>
      <c r="F74" s="903" t="s">
        <v>119</v>
      </c>
      <c r="G74" s="902" t="s">
        <v>98</v>
      </c>
      <c r="H74" s="939">
        <v>23.1</v>
      </c>
      <c r="I74" s="909">
        <v>0</v>
      </c>
      <c r="J74" s="909">
        <v>0</v>
      </c>
      <c r="K74" s="244" t="s">
        <v>346</v>
      </c>
      <c r="L74" s="904">
        <v>100</v>
      </c>
      <c r="M74" s="904"/>
      <c r="N74" s="905"/>
    </row>
    <row r="75" spans="1:14" ht="13.5" thickBot="1">
      <c r="A75" s="1158"/>
      <c r="B75" s="1353"/>
      <c r="C75" s="1100" t="s">
        <v>76</v>
      </c>
      <c r="D75" s="1255"/>
      <c r="E75" s="1255"/>
      <c r="F75" s="1255"/>
      <c r="G75" s="1255"/>
      <c r="H75" s="320">
        <f>H74</f>
        <v>23.1</v>
      </c>
      <c r="I75" s="321">
        <f t="shared" ref="I75" si="6">I74</f>
        <v>0</v>
      </c>
      <c r="J75" s="321">
        <f t="shared" ref="J75" si="7">J74</f>
        <v>0</v>
      </c>
      <c r="K75" s="921"/>
      <c r="L75" s="922"/>
      <c r="M75" s="922"/>
      <c r="N75" s="923"/>
    </row>
    <row r="76" spans="1:14" ht="48" customHeight="1" thickBot="1">
      <c r="A76" s="1158"/>
      <c r="B76" s="1353"/>
      <c r="C76" s="1090" t="s">
        <v>765</v>
      </c>
      <c r="D76" s="1277"/>
      <c r="E76" s="1278"/>
      <c r="F76" s="908" t="s">
        <v>119</v>
      </c>
      <c r="G76" s="901" t="s">
        <v>98</v>
      </c>
      <c r="H76" s="940">
        <v>8.4</v>
      </c>
      <c r="I76" s="909">
        <v>0</v>
      </c>
      <c r="J76" s="909">
        <v>0</v>
      </c>
      <c r="K76" s="415" t="s">
        <v>346</v>
      </c>
      <c r="L76" s="904">
        <v>100</v>
      </c>
      <c r="M76" s="904"/>
      <c r="N76" s="905"/>
    </row>
    <row r="77" spans="1:14" ht="13.5" thickBot="1">
      <c r="A77" s="1158"/>
      <c r="B77" s="1354"/>
      <c r="C77" s="1100" t="s">
        <v>76</v>
      </c>
      <c r="D77" s="1382"/>
      <c r="E77" s="1382"/>
      <c r="F77" s="1382"/>
      <c r="G77" s="1382"/>
      <c r="H77" s="81">
        <f>H76</f>
        <v>8.4</v>
      </c>
      <c r="I77" s="70">
        <f t="shared" ref="I77:J77" si="8">I76</f>
        <v>0</v>
      </c>
      <c r="J77" s="70">
        <f t="shared" si="8"/>
        <v>0</v>
      </c>
      <c r="K77" s="227"/>
      <c r="L77" s="62"/>
      <c r="M77" s="62"/>
      <c r="N77" s="77"/>
    </row>
    <row r="78" spans="1:14" ht="13.5" thickBot="1">
      <c r="A78" s="1158"/>
      <c r="B78" s="1259" t="s">
        <v>77</v>
      </c>
      <c r="C78" s="1382"/>
      <c r="D78" s="1382"/>
      <c r="E78" s="1382"/>
      <c r="F78" s="1382"/>
      <c r="G78" s="1382"/>
      <c r="H78" s="81">
        <f>H69+H71+H73+H75+H77</f>
        <v>416.9</v>
      </c>
      <c r="I78" s="70">
        <f t="shared" ref="I78:J78" si="9">I69+I71+I73+I75+I77</f>
        <v>372.92419999999998</v>
      </c>
      <c r="J78" s="70">
        <f t="shared" si="9"/>
        <v>375.16174519999998</v>
      </c>
      <c r="K78" s="227"/>
      <c r="L78" s="62"/>
      <c r="M78" s="62"/>
      <c r="N78" s="77"/>
    </row>
    <row r="79" spans="1:14" ht="21" customHeight="1">
      <c r="A79" s="1158"/>
      <c r="B79" s="1352" t="s">
        <v>64</v>
      </c>
      <c r="C79" s="1210" t="s">
        <v>62</v>
      </c>
      <c r="D79" s="1131"/>
      <c r="E79" s="1132"/>
      <c r="F79" s="1385" t="s">
        <v>139</v>
      </c>
      <c r="G79" s="429" t="s">
        <v>79</v>
      </c>
      <c r="H79" s="944">
        <f>811.7-86-378.1</f>
        <v>347.6</v>
      </c>
      <c r="I79" s="911">
        <f>(H79*1.006)</f>
        <v>349.68560000000002</v>
      </c>
      <c r="J79" s="911">
        <f>(I79)*1.006</f>
        <v>351.7837136</v>
      </c>
      <c r="K79" s="1389" t="s">
        <v>548</v>
      </c>
      <c r="L79" s="1326">
        <v>85</v>
      </c>
      <c r="M79" s="1326">
        <v>80</v>
      </c>
      <c r="N79" s="1328">
        <v>80</v>
      </c>
    </row>
    <row r="80" spans="1:14" ht="17.25" customHeight="1" thickBot="1">
      <c r="A80" s="1158"/>
      <c r="B80" s="1353"/>
      <c r="C80" s="1136"/>
      <c r="D80" s="1137"/>
      <c r="E80" s="1138"/>
      <c r="F80" s="1276"/>
      <c r="G80" s="475" t="s">
        <v>80</v>
      </c>
      <c r="H80" s="946">
        <v>378.1</v>
      </c>
      <c r="I80" s="256">
        <f>(H80)*1.006</f>
        <v>380.36860000000001</v>
      </c>
      <c r="J80" s="256">
        <f>(I80)*1.006</f>
        <v>382.6508116</v>
      </c>
      <c r="K80" s="1276"/>
      <c r="L80" s="1289"/>
      <c r="M80" s="1289"/>
      <c r="N80" s="1290"/>
    </row>
    <row r="81" spans="1:14" ht="13.5" thickBot="1">
      <c r="A81" s="1158"/>
      <c r="B81" s="1353"/>
      <c r="C81" s="1259" t="s">
        <v>76</v>
      </c>
      <c r="D81" s="1315"/>
      <c r="E81" s="1315"/>
      <c r="F81" s="1315"/>
      <c r="G81" s="1316"/>
      <c r="H81" s="320">
        <f>SUM(H79:H80)</f>
        <v>725.7</v>
      </c>
      <c r="I81" s="321">
        <f>SUM(I79:I80)</f>
        <v>730.05420000000004</v>
      </c>
      <c r="J81" s="321">
        <f>SUM(J79:J80)</f>
        <v>734.43452520000005</v>
      </c>
      <c r="K81" s="186"/>
      <c r="L81" s="67"/>
      <c r="M81" s="67"/>
      <c r="N81" s="75"/>
    </row>
    <row r="82" spans="1:14" ht="24" customHeight="1" thickBot="1">
      <c r="A82" s="1158"/>
      <c r="B82" s="1353"/>
      <c r="C82" s="1139" t="s">
        <v>63</v>
      </c>
      <c r="D82" s="1091"/>
      <c r="E82" s="1092"/>
      <c r="F82" s="423" t="s">
        <v>139</v>
      </c>
      <c r="G82" s="441" t="s">
        <v>92</v>
      </c>
      <c r="H82" s="939">
        <v>86</v>
      </c>
      <c r="I82" s="463">
        <f>H82*1.006</f>
        <v>86.516000000000005</v>
      </c>
      <c r="J82" s="463">
        <f>I82*1.006</f>
        <v>87.03509600000001</v>
      </c>
      <c r="K82" s="244" t="s">
        <v>549</v>
      </c>
      <c r="L82" s="469">
        <v>29</v>
      </c>
      <c r="M82" s="469">
        <v>29</v>
      </c>
      <c r="N82" s="470">
        <v>29</v>
      </c>
    </row>
    <row r="83" spans="1:14" ht="18.75" customHeight="1" thickBot="1">
      <c r="A83" s="1158"/>
      <c r="B83" s="1354"/>
      <c r="C83" s="1386" t="s">
        <v>76</v>
      </c>
      <c r="D83" s="1367"/>
      <c r="E83" s="1367"/>
      <c r="F83" s="1367"/>
      <c r="G83" s="1387"/>
      <c r="H83" s="320">
        <f>SUM(H82)</f>
        <v>86</v>
      </c>
      <c r="I83" s="321">
        <f>SUM(I82)</f>
        <v>86.516000000000005</v>
      </c>
      <c r="J83" s="321">
        <f>SUM(J82)</f>
        <v>87.03509600000001</v>
      </c>
      <c r="K83" s="186"/>
      <c r="L83" s="67"/>
      <c r="M83" s="67"/>
      <c r="N83" s="75"/>
    </row>
    <row r="84" spans="1:14" ht="15.75" customHeight="1" thickBot="1">
      <c r="A84" s="1158"/>
      <c r="B84" s="1100" t="s">
        <v>77</v>
      </c>
      <c r="C84" s="1315"/>
      <c r="D84" s="1315"/>
      <c r="E84" s="1315"/>
      <c r="F84" s="1315"/>
      <c r="G84" s="1316"/>
      <c r="H84" s="320">
        <f>SUM(H83)+H81</f>
        <v>811.7</v>
      </c>
      <c r="I84" s="321">
        <f>SUM(I83)+I81</f>
        <v>816.5702</v>
      </c>
      <c r="J84" s="321">
        <f>SUM(J83)+J81</f>
        <v>821.46962120000012</v>
      </c>
      <c r="K84" s="227"/>
      <c r="L84" s="62"/>
      <c r="M84" s="62"/>
      <c r="N84" s="77"/>
    </row>
    <row r="85" spans="1:14" ht="26.25" customHeight="1">
      <c r="A85" s="1158"/>
      <c r="B85" s="1159" t="s">
        <v>96</v>
      </c>
      <c r="C85" s="1368" t="s">
        <v>516</v>
      </c>
      <c r="D85" s="1077"/>
      <c r="E85" s="1077"/>
      <c r="F85" s="1391" t="s">
        <v>140</v>
      </c>
      <c r="G85" s="1072" t="s">
        <v>92</v>
      </c>
      <c r="H85" s="1392">
        <v>481.5</v>
      </c>
      <c r="I85" s="1393">
        <f>H85*1.006</f>
        <v>484.38900000000001</v>
      </c>
      <c r="J85" s="1393">
        <f>I85*1.006</f>
        <v>487.29533400000003</v>
      </c>
      <c r="K85" s="250" t="s">
        <v>517</v>
      </c>
      <c r="L85" s="269">
        <v>300</v>
      </c>
      <c r="M85" s="269">
        <v>300</v>
      </c>
      <c r="N85" s="275">
        <v>300</v>
      </c>
    </row>
    <row r="86" spans="1:14" ht="27" customHeight="1" thickBot="1">
      <c r="A86" s="1158"/>
      <c r="B86" s="1157"/>
      <c r="C86" s="1390"/>
      <c r="D86" s="1079"/>
      <c r="E86" s="1079"/>
      <c r="F86" s="1079"/>
      <c r="G86" s="1073"/>
      <c r="H86" s="1075"/>
      <c r="I86" s="1069"/>
      <c r="J86" s="1069"/>
      <c r="K86" s="254" t="s">
        <v>250</v>
      </c>
      <c r="L86" s="278">
        <v>5</v>
      </c>
      <c r="M86" s="278">
        <v>6</v>
      </c>
      <c r="N86" s="279">
        <v>0</v>
      </c>
    </row>
    <row r="87" spans="1:14" ht="13.5" thickBot="1">
      <c r="A87" s="1158"/>
      <c r="B87" s="1157"/>
      <c r="C87" s="1259" t="s">
        <v>76</v>
      </c>
      <c r="D87" s="1315"/>
      <c r="E87" s="1315"/>
      <c r="F87" s="1315"/>
      <c r="G87" s="1316"/>
      <c r="H87" s="320">
        <f>SUM(H85)</f>
        <v>481.5</v>
      </c>
      <c r="I87" s="321">
        <f>SUM(I85)</f>
        <v>484.38900000000001</v>
      </c>
      <c r="J87" s="321">
        <f>SUM(J85)</f>
        <v>487.29533400000003</v>
      </c>
      <c r="K87" s="64"/>
      <c r="L87" s="62"/>
      <c r="M87" s="62"/>
      <c r="N87" s="77"/>
    </row>
    <row r="88" spans="1:14" ht="26.25" customHeight="1" thickBot="1">
      <c r="A88" s="1158"/>
      <c r="B88" s="1157"/>
      <c r="C88" s="1139" t="s">
        <v>341</v>
      </c>
      <c r="D88" s="1091"/>
      <c r="E88" s="1092"/>
      <c r="F88" s="381" t="s">
        <v>140</v>
      </c>
      <c r="G88" s="441" t="s">
        <v>92</v>
      </c>
      <c r="H88" s="391">
        <v>82</v>
      </c>
      <c r="I88" s="463">
        <f>H88*1.006</f>
        <v>82.492000000000004</v>
      </c>
      <c r="J88" s="463">
        <f>I88*1.006</f>
        <v>82.986952000000002</v>
      </c>
      <c r="K88" s="442" t="s">
        <v>550</v>
      </c>
      <c r="L88" s="270">
        <v>33</v>
      </c>
      <c r="M88" s="270">
        <v>35</v>
      </c>
      <c r="N88" s="271">
        <v>35</v>
      </c>
    </row>
    <row r="89" spans="1:14" ht="13.5" thickBot="1">
      <c r="A89" s="1158"/>
      <c r="B89" s="1157"/>
      <c r="C89" s="1394" t="s">
        <v>76</v>
      </c>
      <c r="D89" s="1395"/>
      <c r="E89" s="1395"/>
      <c r="F89" s="1395"/>
      <c r="G89" s="1396"/>
      <c r="H89" s="177">
        <f>SUM(H88)</f>
        <v>82</v>
      </c>
      <c r="I89" s="178">
        <f>SUM(I88)</f>
        <v>82.492000000000004</v>
      </c>
      <c r="J89" s="178">
        <f>SUM(J88)</f>
        <v>82.986952000000002</v>
      </c>
      <c r="K89" s="229"/>
      <c r="L89" s="266"/>
      <c r="M89" s="266"/>
      <c r="N89" s="267"/>
    </row>
    <row r="90" spans="1:14">
      <c r="A90" s="1158"/>
      <c r="B90" s="1157"/>
      <c r="C90" s="1397" t="s">
        <v>95</v>
      </c>
      <c r="D90" s="1398"/>
      <c r="E90" s="1398"/>
      <c r="F90" s="1346" t="s">
        <v>140</v>
      </c>
      <c r="G90" s="1120" t="s">
        <v>79</v>
      </c>
      <c r="H90" s="1404">
        <f>1167.7-481.5-82-3.5-50-15.3</f>
        <v>535.40000000000009</v>
      </c>
      <c r="I90" s="1348">
        <f>H90*1.006</f>
        <v>538.61240000000009</v>
      </c>
      <c r="J90" s="1348">
        <f>I90*1.006</f>
        <v>541.84407440000007</v>
      </c>
      <c r="K90" s="1357" t="s">
        <v>329</v>
      </c>
      <c r="L90" s="1408">
        <v>20</v>
      </c>
      <c r="M90" s="1297">
        <v>20</v>
      </c>
      <c r="N90" s="1327">
        <v>20</v>
      </c>
    </row>
    <row r="91" spans="1:14">
      <c r="A91" s="1158"/>
      <c r="B91" s="1157"/>
      <c r="C91" s="1397"/>
      <c r="D91" s="1398"/>
      <c r="E91" s="1398"/>
      <c r="F91" s="1402"/>
      <c r="G91" s="1403"/>
      <c r="H91" s="1114"/>
      <c r="I91" s="1398"/>
      <c r="J91" s="1398"/>
      <c r="K91" s="1358"/>
      <c r="L91" s="1409"/>
      <c r="M91" s="1288"/>
      <c r="N91" s="1286"/>
    </row>
    <row r="92" spans="1:14" ht="23.25" customHeight="1">
      <c r="A92" s="1158"/>
      <c r="B92" s="1157"/>
      <c r="C92" s="1397"/>
      <c r="D92" s="1398"/>
      <c r="E92" s="1398"/>
      <c r="F92" s="1402"/>
      <c r="G92" s="1410" t="s">
        <v>80</v>
      </c>
      <c r="H92" s="1412">
        <v>15.3</v>
      </c>
      <c r="I92" s="1413">
        <f>H92*1.006</f>
        <v>15.3918</v>
      </c>
      <c r="J92" s="1413">
        <f>I92*1.006</f>
        <v>15.4841508</v>
      </c>
      <c r="K92" s="204" t="s">
        <v>551</v>
      </c>
      <c r="L92" s="383">
        <v>7200</v>
      </c>
      <c r="M92" s="270">
        <v>7500</v>
      </c>
      <c r="N92" s="271">
        <v>7800</v>
      </c>
    </row>
    <row r="93" spans="1:14" ht="27.75" customHeight="1">
      <c r="A93" s="1158"/>
      <c r="B93" s="1157"/>
      <c r="C93" s="1399"/>
      <c r="D93" s="1086"/>
      <c r="E93" s="1086"/>
      <c r="F93" s="1261"/>
      <c r="G93" s="1411"/>
      <c r="H93" s="1119"/>
      <c r="I93" s="1349"/>
      <c r="J93" s="1349"/>
      <c r="K93" s="415" t="s">
        <v>552</v>
      </c>
      <c r="L93" s="384">
        <v>120</v>
      </c>
      <c r="M93" s="469">
        <v>120</v>
      </c>
      <c r="N93" s="470">
        <v>125</v>
      </c>
    </row>
    <row r="94" spans="1:14" ht="23.25" customHeight="1" thickBot="1">
      <c r="A94" s="1158"/>
      <c r="B94" s="1157"/>
      <c r="C94" s="1400"/>
      <c r="D94" s="1401"/>
      <c r="E94" s="1401"/>
      <c r="F94" s="1347"/>
      <c r="G94" s="1151"/>
      <c r="H94" s="1088"/>
      <c r="I94" s="1276"/>
      <c r="J94" s="1276"/>
      <c r="K94" s="254" t="s">
        <v>553</v>
      </c>
      <c r="L94" s="278">
        <v>120</v>
      </c>
      <c r="M94" s="278">
        <v>120</v>
      </c>
      <c r="N94" s="279">
        <v>120</v>
      </c>
    </row>
    <row r="95" spans="1:14" ht="13.5" thickBot="1">
      <c r="A95" s="1158"/>
      <c r="B95" s="1157"/>
      <c r="C95" s="1259" t="s">
        <v>76</v>
      </c>
      <c r="D95" s="1315"/>
      <c r="E95" s="1315"/>
      <c r="F95" s="1315"/>
      <c r="G95" s="1316"/>
      <c r="H95" s="320">
        <f>SUM(H90:H93)</f>
        <v>550.70000000000005</v>
      </c>
      <c r="I95" s="321">
        <f>SUM(I90:I92)</f>
        <v>554.00420000000008</v>
      </c>
      <c r="J95" s="321">
        <f>SUM(J90:J92)</f>
        <v>557.32822520000002</v>
      </c>
      <c r="K95" s="65"/>
      <c r="L95" s="34"/>
      <c r="M95" s="34"/>
      <c r="N95" s="87"/>
    </row>
    <row r="96" spans="1:14" ht="36" customHeight="1" thickBot="1">
      <c r="A96" s="1158"/>
      <c r="B96" s="1157"/>
      <c r="C96" s="1343" t="s">
        <v>330</v>
      </c>
      <c r="D96" s="1331"/>
      <c r="E96" s="1332"/>
      <c r="F96" s="382" t="s">
        <v>140</v>
      </c>
      <c r="G96" s="441" t="s">
        <v>79</v>
      </c>
      <c r="H96" s="391">
        <v>3.5</v>
      </c>
      <c r="I96" s="463">
        <f>H96*1.006</f>
        <v>3.5209999999999999</v>
      </c>
      <c r="J96" s="463">
        <f>I96*1.006</f>
        <v>3.5421260000000001</v>
      </c>
      <c r="K96" s="415" t="s">
        <v>554</v>
      </c>
      <c r="L96" s="469">
        <v>3000</v>
      </c>
      <c r="M96" s="469">
        <v>3000</v>
      </c>
      <c r="N96" s="470">
        <v>3000</v>
      </c>
    </row>
    <row r="97" spans="1:14" ht="13.5" thickBot="1">
      <c r="A97" s="1158"/>
      <c r="B97" s="1157"/>
      <c r="C97" s="1259" t="s">
        <v>76</v>
      </c>
      <c r="D97" s="1315"/>
      <c r="E97" s="1315"/>
      <c r="F97" s="1315"/>
      <c r="G97" s="1316"/>
      <c r="H97" s="320">
        <f>SUM(H96)</f>
        <v>3.5</v>
      </c>
      <c r="I97" s="321">
        <f>SUM(I96)</f>
        <v>3.5209999999999999</v>
      </c>
      <c r="J97" s="321">
        <f>SUM(J96)</f>
        <v>3.5421260000000001</v>
      </c>
      <c r="K97" s="72"/>
      <c r="L97" s="62"/>
      <c r="M97" s="62"/>
      <c r="N97" s="77"/>
    </row>
    <row r="98" spans="1:14" ht="23.25" thickBot="1">
      <c r="A98" s="1158"/>
      <c r="B98" s="1157"/>
      <c r="C98" s="1343" t="s">
        <v>24</v>
      </c>
      <c r="D98" s="1331"/>
      <c r="E98" s="1332"/>
      <c r="F98" s="381" t="s">
        <v>140</v>
      </c>
      <c r="G98" s="441" t="s">
        <v>79</v>
      </c>
      <c r="H98" s="391">
        <v>50</v>
      </c>
      <c r="I98" s="463">
        <f>H98*1.006</f>
        <v>50.3</v>
      </c>
      <c r="J98" s="463">
        <f>I98*1.006</f>
        <v>50.601799999999997</v>
      </c>
      <c r="K98" s="408" t="s">
        <v>555</v>
      </c>
      <c r="L98" s="270">
        <v>290</v>
      </c>
      <c r="M98" s="270">
        <v>300</v>
      </c>
      <c r="N98" s="271">
        <v>310</v>
      </c>
    </row>
    <row r="99" spans="1:14" ht="15" customHeight="1" thickBot="1">
      <c r="A99" s="1158"/>
      <c r="B99" s="1157"/>
      <c r="C99" s="1126" t="s">
        <v>76</v>
      </c>
      <c r="D99" s="1386"/>
      <c r="E99" s="1386"/>
      <c r="F99" s="1386"/>
      <c r="G99" s="1421"/>
      <c r="H99" s="315">
        <f>SUM(H98)</f>
        <v>50</v>
      </c>
      <c r="I99" s="316">
        <f>SUM(I98)</f>
        <v>50.3</v>
      </c>
      <c r="J99" s="316">
        <f>SUM(J98)</f>
        <v>50.601799999999997</v>
      </c>
      <c r="K99" s="229"/>
      <c r="L99" s="266"/>
      <c r="M99" s="266"/>
      <c r="N99" s="267"/>
    </row>
    <row r="100" spans="1:14" ht="22.5" customHeight="1">
      <c r="A100" s="1158"/>
      <c r="B100" s="1254"/>
      <c r="C100" s="1076" t="s">
        <v>793</v>
      </c>
      <c r="D100" s="1152"/>
      <c r="E100" s="1152"/>
      <c r="F100" s="1362" t="s">
        <v>140</v>
      </c>
      <c r="G100" s="1072" t="s">
        <v>98</v>
      </c>
      <c r="H100" s="1163">
        <v>56.3</v>
      </c>
      <c r="I100" s="1074">
        <v>0</v>
      </c>
      <c r="J100" s="1074">
        <v>0</v>
      </c>
      <c r="K100" s="250" t="s">
        <v>556</v>
      </c>
      <c r="L100" s="269">
        <v>37</v>
      </c>
      <c r="M100" s="269"/>
      <c r="N100" s="275"/>
    </row>
    <row r="101" spans="1:14" ht="24.75" customHeight="1" thickBot="1">
      <c r="A101" s="1158"/>
      <c r="B101" s="1254"/>
      <c r="C101" s="1312"/>
      <c r="D101" s="1313"/>
      <c r="E101" s="1313"/>
      <c r="F101" s="1363"/>
      <c r="G101" s="1364"/>
      <c r="H101" s="1359"/>
      <c r="I101" s="1360"/>
      <c r="J101" s="1360"/>
      <c r="K101" s="358" t="s">
        <v>346</v>
      </c>
      <c r="L101" s="278">
        <v>100</v>
      </c>
      <c r="M101" s="278"/>
      <c r="N101" s="279"/>
    </row>
    <row r="102" spans="1:14" ht="15" customHeight="1" thickBot="1">
      <c r="A102" s="1158"/>
      <c r="B102" s="1157"/>
      <c r="C102" s="1176" t="s">
        <v>76</v>
      </c>
      <c r="D102" s="1262"/>
      <c r="E102" s="1262"/>
      <c r="F102" s="1262"/>
      <c r="G102" s="1361"/>
      <c r="H102" s="366">
        <f>SUM(H100)</f>
        <v>56.3</v>
      </c>
      <c r="I102" s="367">
        <f>SUM(I100)</f>
        <v>0</v>
      </c>
      <c r="J102" s="367">
        <f>SUM(J100)</f>
        <v>0</v>
      </c>
      <c r="K102" s="61"/>
      <c r="L102" s="154"/>
      <c r="M102" s="154"/>
      <c r="N102" s="146"/>
    </row>
    <row r="103" spans="1:14" ht="24.75" customHeight="1">
      <c r="A103" s="1158"/>
      <c r="B103" s="1254"/>
      <c r="C103" s="1076" t="s">
        <v>794</v>
      </c>
      <c r="D103" s="1152"/>
      <c r="E103" s="1152"/>
      <c r="F103" s="1362" t="s">
        <v>140</v>
      </c>
      <c r="G103" s="1072" t="s">
        <v>98</v>
      </c>
      <c r="H103" s="1163">
        <v>5.8</v>
      </c>
      <c r="I103" s="1074">
        <v>2</v>
      </c>
      <c r="J103" s="1074">
        <v>0</v>
      </c>
      <c r="K103" s="250" t="s">
        <v>518</v>
      </c>
      <c r="L103" s="269">
        <v>600</v>
      </c>
      <c r="M103" s="269">
        <v>100</v>
      </c>
      <c r="N103" s="275"/>
    </row>
    <row r="104" spans="1:14" ht="24" customHeight="1" thickBot="1">
      <c r="A104" s="1158"/>
      <c r="B104" s="1254"/>
      <c r="C104" s="1312"/>
      <c r="D104" s="1313"/>
      <c r="E104" s="1313"/>
      <c r="F104" s="1363"/>
      <c r="G104" s="1364"/>
      <c r="H104" s="1359"/>
      <c r="I104" s="1360"/>
      <c r="J104" s="1360"/>
      <c r="K104" s="358" t="s">
        <v>346</v>
      </c>
      <c r="L104" s="278">
        <v>60</v>
      </c>
      <c r="M104" s="278">
        <v>100</v>
      </c>
      <c r="N104" s="279"/>
    </row>
    <row r="105" spans="1:14" ht="13.5" thickBot="1">
      <c r="A105" s="1158"/>
      <c r="B105" s="1179"/>
      <c r="C105" s="1106" t="s">
        <v>76</v>
      </c>
      <c r="D105" s="1365"/>
      <c r="E105" s="1365"/>
      <c r="F105" s="1365"/>
      <c r="G105" s="1366"/>
      <c r="H105" s="356">
        <f>SUM(H103)</f>
        <v>5.8</v>
      </c>
      <c r="I105" s="357">
        <f>SUM(I103)</f>
        <v>2</v>
      </c>
      <c r="J105" s="357">
        <f>SUM(J103)</f>
        <v>0</v>
      </c>
      <c r="K105" s="95"/>
      <c r="L105" s="34"/>
      <c r="M105" s="34"/>
      <c r="N105" s="87"/>
    </row>
    <row r="106" spans="1:14" ht="12.75" customHeight="1" thickBot="1">
      <c r="A106" s="1158"/>
      <c r="B106" s="1100" t="s">
        <v>77</v>
      </c>
      <c r="C106" s="1367"/>
      <c r="D106" s="1367"/>
      <c r="E106" s="1367"/>
      <c r="F106" s="1367"/>
      <c r="G106" s="1367"/>
      <c r="H106" s="315">
        <f>H99+H97+H95+H89+H87+H102+H105</f>
        <v>1229.8</v>
      </c>
      <c r="I106" s="316">
        <f>I105+I102+I99+I97+I95+I89+I87</f>
        <v>1176.7062000000001</v>
      </c>
      <c r="J106" s="316">
        <f>J99+J97+J95+J89+J87</f>
        <v>1181.7544372</v>
      </c>
      <c r="K106" s="229"/>
      <c r="L106" s="266"/>
      <c r="M106" s="266"/>
      <c r="N106" s="267"/>
    </row>
    <row r="107" spans="1:14" ht="25.5" customHeight="1">
      <c r="A107" s="1158"/>
      <c r="B107" s="1159" t="s">
        <v>37</v>
      </c>
      <c r="C107" s="1368" t="s">
        <v>519</v>
      </c>
      <c r="D107" s="1152"/>
      <c r="E107" s="1152"/>
      <c r="F107" s="1362" t="s">
        <v>520</v>
      </c>
      <c r="G107" s="429" t="s">
        <v>79</v>
      </c>
      <c r="H107" s="322">
        <v>644.79999999999995</v>
      </c>
      <c r="I107" s="431">
        <f>H107*1.006</f>
        <v>648.66879999999992</v>
      </c>
      <c r="J107" s="431">
        <f>I107*1.006</f>
        <v>652.56081279999989</v>
      </c>
      <c r="K107" s="308" t="s">
        <v>557</v>
      </c>
      <c r="L107" s="477">
        <v>30</v>
      </c>
      <c r="M107" s="477">
        <v>22</v>
      </c>
      <c r="N107" s="478">
        <v>0</v>
      </c>
    </row>
    <row r="108" spans="1:14" ht="25.5" customHeight="1">
      <c r="A108" s="1158"/>
      <c r="B108" s="1157"/>
      <c r="C108" s="1369"/>
      <c r="D108" s="1308"/>
      <c r="E108" s="1308"/>
      <c r="F108" s="1414"/>
      <c r="G108" s="1144" t="s">
        <v>80</v>
      </c>
      <c r="H108" s="1415">
        <v>11.5</v>
      </c>
      <c r="I108" s="1089">
        <f>H108*1.006</f>
        <v>11.569000000000001</v>
      </c>
      <c r="J108" s="1089">
        <f>I108*1.006</f>
        <v>11.638414000000001</v>
      </c>
      <c r="K108" s="1417" t="s">
        <v>558</v>
      </c>
      <c r="L108" s="1419">
        <v>6</v>
      </c>
      <c r="M108" s="1419">
        <v>14</v>
      </c>
      <c r="N108" s="1406">
        <v>36</v>
      </c>
    </row>
    <row r="109" spans="1:14" ht="9" customHeight="1" thickBot="1">
      <c r="A109" s="1158"/>
      <c r="B109" s="1157"/>
      <c r="C109" s="1370"/>
      <c r="D109" s="1313"/>
      <c r="E109" s="1313"/>
      <c r="F109" s="1363"/>
      <c r="G109" s="1364"/>
      <c r="H109" s="1416"/>
      <c r="I109" s="1360"/>
      <c r="J109" s="1360"/>
      <c r="K109" s="1418"/>
      <c r="L109" s="1420"/>
      <c r="M109" s="1420"/>
      <c r="N109" s="1407"/>
    </row>
    <row r="110" spans="1:14" ht="13.5" thickBot="1">
      <c r="A110" s="1158"/>
      <c r="B110" s="1157"/>
      <c r="C110" s="1262" t="s">
        <v>76</v>
      </c>
      <c r="D110" s="1383"/>
      <c r="E110" s="1383"/>
      <c r="F110" s="1383"/>
      <c r="G110" s="1384"/>
      <c r="H110" s="366">
        <f>SUM(H107:H108)</f>
        <v>656.3</v>
      </c>
      <c r="I110" s="367">
        <f>SUM(I107:I108)</f>
        <v>660.23779999999988</v>
      </c>
      <c r="J110" s="367">
        <f>SUM(J107:J108)</f>
        <v>664.19922679999991</v>
      </c>
      <c r="K110" s="61"/>
      <c r="L110" s="154"/>
      <c r="M110" s="154"/>
      <c r="N110" s="146"/>
    </row>
    <row r="111" spans="1:14" ht="27" customHeight="1">
      <c r="A111" s="1158"/>
      <c r="B111" s="1371"/>
      <c r="C111" s="1373" t="s">
        <v>795</v>
      </c>
      <c r="D111" s="1374"/>
      <c r="E111" s="1374"/>
      <c r="F111" s="1377" t="s">
        <v>112</v>
      </c>
      <c r="G111" s="1377" t="s">
        <v>98</v>
      </c>
      <c r="H111" s="1355">
        <v>53.7</v>
      </c>
      <c r="I111" s="1355">
        <v>215</v>
      </c>
      <c r="J111" s="1355"/>
      <c r="K111" s="250" t="s">
        <v>796</v>
      </c>
      <c r="L111" s="953"/>
      <c r="M111" s="953">
        <v>2</v>
      </c>
      <c r="N111" s="1021"/>
    </row>
    <row r="112" spans="1:14" ht="19.5" customHeight="1" thickBot="1">
      <c r="A112" s="1158"/>
      <c r="B112" s="1372"/>
      <c r="C112" s="1375"/>
      <c r="D112" s="1376"/>
      <c r="E112" s="1376"/>
      <c r="F112" s="1378"/>
      <c r="G112" s="1378"/>
      <c r="H112" s="1356"/>
      <c r="I112" s="1356"/>
      <c r="J112" s="1356"/>
      <c r="K112" s="954" t="s">
        <v>346</v>
      </c>
      <c r="L112" s="951">
        <v>20</v>
      </c>
      <c r="M112" s="951">
        <v>100</v>
      </c>
      <c r="N112" s="625"/>
    </row>
    <row r="113" spans="1:14" ht="13.5" thickBot="1">
      <c r="A113" s="1158"/>
      <c r="B113" s="1100" t="s">
        <v>76</v>
      </c>
      <c r="C113" s="1430"/>
      <c r="D113" s="1430"/>
      <c r="E113" s="1430"/>
      <c r="F113" s="1430"/>
      <c r="G113" s="1430"/>
      <c r="H113" s="1022">
        <f>H111</f>
        <v>53.7</v>
      </c>
      <c r="I113" s="1023">
        <f t="shared" ref="I113:J113" si="10">I111</f>
        <v>215</v>
      </c>
      <c r="J113" s="1023">
        <f t="shared" si="10"/>
        <v>0</v>
      </c>
      <c r="K113" s="266"/>
      <c r="L113" s="266"/>
      <c r="M113" s="266"/>
      <c r="N113" s="267"/>
    </row>
    <row r="114" spans="1:14" ht="13.5" thickBot="1">
      <c r="A114" s="1158"/>
      <c r="B114" s="1100" t="s">
        <v>77</v>
      </c>
      <c r="C114" s="1315"/>
      <c r="D114" s="1315"/>
      <c r="E114" s="1315"/>
      <c r="F114" s="1315"/>
      <c r="G114" s="1315"/>
      <c r="H114" s="320">
        <f>H110+H113</f>
        <v>710</v>
      </c>
      <c r="I114" s="321">
        <f t="shared" ref="I114:J114" si="11">I110+I113</f>
        <v>875.23779999999988</v>
      </c>
      <c r="J114" s="321">
        <f t="shared" si="11"/>
        <v>664.19922679999991</v>
      </c>
      <c r="K114" s="227"/>
      <c r="L114" s="62"/>
      <c r="M114" s="62"/>
      <c r="N114" s="77"/>
    </row>
    <row r="115" spans="1:14" ht="46.5" customHeight="1">
      <c r="A115" s="1158"/>
      <c r="B115" s="1159" t="s">
        <v>38</v>
      </c>
      <c r="C115" s="1090" t="s">
        <v>39</v>
      </c>
      <c r="D115" s="1091"/>
      <c r="E115" s="1092"/>
      <c r="F115" s="1385" t="s">
        <v>141</v>
      </c>
      <c r="G115" s="429" t="s">
        <v>79</v>
      </c>
      <c r="H115" s="466">
        <v>189.6</v>
      </c>
      <c r="I115" s="451">
        <f>H115*1.006</f>
        <v>190.73759999999999</v>
      </c>
      <c r="J115" s="451">
        <f>I115*1.006</f>
        <v>191.88202559999999</v>
      </c>
      <c r="K115" s="255" t="s">
        <v>559</v>
      </c>
      <c r="L115" s="434">
        <v>50</v>
      </c>
      <c r="M115" s="434">
        <v>50</v>
      </c>
      <c r="N115" s="436">
        <v>50</v>
      </c>
    </row>
    <row r="116" spans="1:14" ht="46.5" customHeight="1" thickBot="1">
      <c r="A116" s="1158"/>
      <c r="B116" s="1158"/>
      <c r="C116" s="1146"/>
      <c r="D116" s="1147"/>
      <c r="E116" s="1148"/>
      <c r="F116" s="1276"/>
      <c r="G116" s="475" t="s">
        <v>80</v>
      </c>
      <c r="H116" s="946">
        <v>12.3</v>
      </c>
      <c r="I116" s="256">
        <f>H116*1.006</f>
        <v>12.373800000000001</v>
      </c>
      <c r="J116" s="256">
        <f>I116*1.006</f>
        <v>12.448042800000001</v>
      </c>
      <c r="K116" s="262" t="s">
        <v>251</v>
      </c>
      <c r="L116" s="278">
        <v>11</v>
      </c>
      <c r="M116" s="278">
        <v>11</v>
      </c>
      <c r="N116" s="279">
        <v>11</v>
      </c>
    </row>
    <row r="117" spans="1:14" ht="13.5" thickBot="1">
      <c r="A117" s="1158"/>
      <c r="B117" s="1161"/>
      <c r="C117" s="1386" t="s">
        <v>76</v>
      </c>
      <c r="D117" s="1367"/>
      <c r="E117" s="1367"/>
      <c r="F117" s="1367"/>
      <c r="G117" s="1387"/>
      <c r="H117" s="320">
        <f>SUM(H115:H116)</f>
        <v>201.9</v>
      </c>
      <c r="I117" s="321">
        <f>SUM(I115:I116)</f>
        <v>203.11139999999997</v>
      </c>
      <c r="J117" s="321">
        <f>SUM(J115:J116)</f>
        <v>204.33006839999999</v>
      </c>
      <c r="K117" s="227"/>
      <c r="L117" s="62"/>
      <c r="M117" s="62"/>
      <c r="N117" s="77"/>
    </row>
    <row r="118" spans="1:14" ht="13.5" thickBot="1">
      <c r="A118" s="1158"/>
      <c r="B118" s="1100" t="s">
        <v>77</v>
      </c>
      <c r="C118" s="1315"/>
      <c r="D118" s="1315"/>
      <c r="E118" s="1315"/>
      <c r="F118" s="1315"/>
      <c r="G118" s="1316"/>
      <c r="H118" s="348">
        <f>H117</f>
        <v>201.9</v>
      </c>
      <c r="I118" s="357">
        <f>I117</f>
        <v>203.11139999999997</v>
      </c>
      <c r="J118" s="357">
        <f>J117</f>
        <v>204.33006839999999</v>
      </c>
      <c r="K118" s="95"/>
      <c r="L118" s="34"/>
      <c r="M118" s="34"/>
      <c r="N118" s="87"/>
    </row>
    <row r="119" spans="1:14" ht="74.25" customHeight="1" thickBot="1">
      <c r="A119" s="1158"/>
      <c r="B119" s="149" t="s">
        <v>342</v>
      </c>
      <c r="C119" s="1388" t="s">
        <v>18</v>
      </c>
      <c r="D119" s="1139"/>
      <c r="E119" s="1140"/>
      <c r="F119" s="58" t="s">
        <v>112</v>
      </c>
      <c r="G119" s="429" t="s">
        <v>79</v>
      </c>
      <c r="H119" s="322">
        <v>12</v>
      </c>
      <c r="I119" s="322">
        <f>H119*1.006</f>
        <v>12.071999999999999</v>
      </c>
      <c r="J119" s="322">
        <f>I119*1.006</f>
        <v>12.144432</v>
      </c>
      <c r="K119" s="427" t="s">
        <v>331</v>
      </c>
      <c r="L119" s="433">
        <v>5</v>
      </c>
      <c r="M119" s="433">
        <v>5</v>
      </c>
      <c r="N119" s="435">
        <v>5</v>
      </c>
    </row>
    <row r="120" spans="1:14" ht="15" customHeight="1" thickBot="1">
      <c r="A120" s="1158"/>
      <c r="B120" s="1100" t="s">
        <v>76</v>
      </c>
      <c r="C120" s="1255"/>
      <c r="D120" s="1255"/>
      <c r="E120" s="1255"/>
      <c r="F120" s="1255"/>
      <c r="G120" s="1256"/>
      <c r="H120" s="320">
        <f>SUM(H119:H119)</f>
        <v>12</v>
      </c>
      <c r="I120" s="321">
        <f>SUM(I119:I119)</f>
        <v>12.071999999999999</v>
      </c>
      <c r="J120" s="321">
        <f>SUM(J119:J119)</f>
        <v>12.144432</v>
      </c>
      <c r="K120" s="227"/>
      <c r="L120" s="62"/>
      <c r="M120" s="62"/>
      <c r="N120" s="77"/>
    </row>
    <row r="121" spans="1:14" ht="13.5" thickBot="1">
      <c r="A121" s="1161"/>
      <c r="B121" s="1100" t="s">
        <v>77</v>
      </c>
      <c r="C121" s="1255"/>
      <c r="D121" s="1255"/>
      <c r="E121" s="1255"/>
      <c r="F121" s="1255"/>
      <c r="G121" s="1256"/>
      <c r="H121" s="375">
        <f>H120</f>
        <v>12</v>
      </c>
      <c r="I121" s="367">
        <f>I120</f>
        <v>12.071999999999999</v>
      </c>
      <c r="J121" s="367">
        <f>J120</f>
        <v>12.144432</v>
      </c>
      <c r="K121" s="237"/>
      <c r="L121" s="154"/>
      <c r="M121" s="154"/>
      <c r="N121" s="146"/>
    </row>
    <row r="122" spans="1:14" ht="13.5" thickBot="1">
      <c r="A122" s="1258" t="s">
        <v>7</v>
      </c>
      <c r="B122" s="1350"/>
      <c r="C122" s="1350"/>
      <c r="D122" s="1350"/>
      <c r="E122" s="1350"/>
      <c r="F122" s="1350"/>
      <c r="G122" s="1350"/>
      <c r="H122" s="81">
        <f>H78+H84+H106+H114+H118+H121</f>
        <v>3382.2999999999997</v>
      </c>
      <c r="I122" s="70">
        <f>I78+I84+I106+I114+I118+I121</f>
        <v>3456.6217999999999</v>
      </c>
      <c r="J122" s="70">
        <f>J78+J84+J106+J114+J118+J121</f>
        <v>3259.0595308000002</v>
      </c>
      <c r="K122" s="64"/>
      <c r="L122" s="62"/>
      <c r="M122" s="62"/>
      <c r="N122" s="77"/>
    </row>
    <row r="123" spans="1:14" ht="15.75" customHeight="1" thickBot="1">
      <c r="A123" s="1159" t="s">
        <v>523</v>
      </c>
      <c r="B123" s="1159" t="s">
        <v>708</v>
      </c>
      <c r="C123" s="392" t="s">
        <v>338</v>
      </c>
      <c r="D123" s="393"/>
      <c r="E123" s="394"/>
      <c r="F123" s="395" t="s">
        <v>112</v>
      </c>
      <c r="G123" s="426" t="s">
        <v>79</v>
      </c>
      <c r="H123" s="941">
        <v>10</v>
      </c>
      <c r="I123" s="463">
        <f>H123*1.006</f>
        <v>10.06</v>
      </c>
      <c r="J123" s="463">
        <f>I123*1.006</f>
        <v>10.12036</v>
      </c>
      <c r="K123" s="408" t="s">
        <v>252</v>
      </c>
      <c r="L123" s="469">
        <v>5</v>
      </c>
      <c r="M123" s="469">
        <v>5</v>
      </c>
      <c r="N123" s="470">
        <v>5</v>
      </c>
    </row>
    <row r="124" spans="1:14" ht="13.5" thickBot="1">
      <c r="A124" s="1158"/>
      <c r="B124" s="1158"/>
      <c r="C124" s="1386" t="s">
        <v>76</v>
      </c>
      <c r="D124" s="1367"/>
      <c r="E124" s="1367"/>
      <c r="F124" s="1367"/>
      <c r="G124" s="1387"/>
      <c r="H124" s="315">
        <f>SUM(H123)</f>
        <v>10</v>
      </c>
      <c r="I124" s="316">
        <f>SUM(I123)</f>
        <v>10.06</v>
      </c>
      <c r="J124" s="316">
        <f>SUM(J123)</f>
        <v>10.12036</v>
      </c>
      <c r="K124" s="80"/>
      <c r="L124" s="264"/>
      <c r="M124" s="264"/>
      <c r="N124" s="207"/>
    </row>
    <row r="125" spans="1:14" ht="26.25" customHeight="1">
      <c r="A125" s="1158"/>
      <c r="B125" s="1160"/>
      <c r="C125" s="1076" t="s">
        <v>797</v>
      </c>
      <c r="D125" s="1077"/>
      <c r="E125" s="1077"/>
      <c r="F125" s="1346" t="s">
        <v>112</v>
      </c>
      <c r="G125" s="1120" t="s">
        <v>98</v>
      </c>
      <c r="H125" s="1348">
        <v>95</v>
      </c>
      <c r="I125" s="1348">
        <v>84</v>
      </c>
      <c r="J125" s="1348">
        <v>0</v>
      </c>
      <c r="K125" s="250" t="s">
        <v>556</v>
      </c>
      <c r="L125" s="444">
        <v>110</v>
      </c>
      <c r="M125" s="444">
        <v>60</v>
      </c>
      <c r="N125" s="480"/>
    </row>
    <row r="126" spans="1:14" ht="21.75" customHeight="1" thickBot="1">
      <c r="A126" s="1158"/>
      <c r="B126" s="1160"/>
      <c r="C126" s="1078"/>
      <c r="D126" s="1079"/>
      <c r="E126" s="1079"/>
      <c r="F126" s="1347"/>
      <c r="G126" s="1151"/>
      <c r="H126" s="1349"/>
      <c r="I126" s="1349"/>
      <c r="J126" s="1349"/>
      <c r="K126" s="374" t="s">
        <v>346</v>
      </c>
      <c r="L126" s="481">
        <v>70</v>
      </c>
      <c r="M126" s="481">
        <v>100</v>
      </c>
      <c r="N126" s="482"/>
    </row>
    <row r="127" spans="1:14" ht="13.5" thickBot="1">
      <c r="A127" s="1158"/>
      <c r="B127" s="1158"/>
      <c r="C127" s="1365" t="s">
        <v>76</v>
      </c>
      <c r="D127" s="1320"/>
      <c r="E127" s="1320"/>
      <c r="F127" s="1320"/>
      <c r="G127" s="1320"/>
      <c r="H127" s="320">
        <f>H125</f>
        <v>95</v>
      </c>
      <c r="I127" s="321">
        <f>I125</f>
        <v>84</v>
      </c>
      <c r="J127" s="321">
        <f>J125</f>
        <v>0</v>
      </c>
      <c r="K127" s="186"/>
      <c r="L127" s="67"/>
      <c r="M127" s="67"/>
      <c r="N127" s="75"/>
    </row>
    <row r="128" spans="1:14" ht="46.5" customHeight="1" thickBot="1">
      <c r="A128" s="1158"/>
      <c r="B128" s="1158"/>
      <c r="C128" s="1139" t="s">
        <v>798</v>
      </c>
      <c r="D128" s="1091"/>
      <c r="E128" s="1092"/>
      <c r="F128" s="342" t="s">
        <v>112</v>
      </c>
      <c r="G128" s="441" t="s">
        <v>79</v>
      </c>
      <c r="H128" s="941">
        <v>520</v>
      </c>
      <c r="I128" s="463">
        <f>H128*1.006</f>
        <v>523.12</v>
      </c>
      <c r="J128" s="463">
        <f>SUM(I128)*1.006</f>
        <v>526.25872000000004</v>
      </c>
      <c r="K128" s="255" t="s">
        <v>560</v>
      </c>
      <c r="L128" s="434">
        <v>94</v>
      </c>
      <c r="M128" s="434">
        <v>97</v>
      </c>
      <c r="N128" s="436">
        <v>99</v>
      </c>
    </row>
    <row r="129" spans="1:14" ht="13.5" thickBot="1">
      <c r="A129" s="1158"/>
      <c r="B129" s="1158"/>
      <c r="C129" s="1259" t="s">
        <v>76</v>
      </c>
      <c r="D129" s="1255"/>
      <c r="E129" s="1255"/>
      <c r="F129" s="1255"/>
      <c r="G129" s="1256"/>
      <c r="H129" s="320">
        <f>SUM(H128)</f>
        <v>520</v>
      </c>
      <c r="I129" s="321">
        <f>SUM(I128)</f>
        <v>523.12</v>
      </c>
      <c r="J129" s="321">
        <f>SUM(J128)</f>
        <v>526.25872000000004</v>
      </c>
      <c r="K129" s="227"/>
      <c r="L129" s="62"/>
      <c r="M129" s="62"/>
      <c r="N129" s="77"/>
    </row>
    <row r="130" spans="1:14" ht="21.75" customHeight="1">
      <c r="A130" s="1158"/>
      <c r="B130" s="1158"/>
      <c r="C130" s="1090" t="s">
        <v>799</v>
      </c>
      <c r="D130" s="1091"/>
      <c r="E130" s="1092"/>
      <c r="F130" s="1385" t="s">
        <v>112</v>
      </c>
      <c r="G130" s="1120" t="s">
        <v>92</v>
      </c>
      <c r="H130" s="1348">
        <v>94.4</v>
      </c>
      <c r="I130" s="1348">
        <f>H130*1.006</f>
        <v>94.966400000000007</v>
      </c>
      <c r="J130" s="1348">
        <f>I130*1.006</f>
        <v>95.536198400000004</v>
      </c>
      <c r="K130" s="1405" t="s">
        <v>561</v>
      </c>
      <c r="L130" s="1297">
        <v>49</v>
      </c>
      <c r="M130" s="1297">
        <v>52</v>
      </c>
      <c r="N130" s="1327">
        <v>54</v>
      </c>
    </row>
    <row r="131" spans="1:14" ht="13.5" customHeight="1" thickBot="1">
      <c r="A131" s="1158"/>
      <c r="B131" s="1158"/>
      <c r="C131" s="1146"/>
      <c r="D131" s="1147"/>
      <c r="E131" s="1148"/>
      <c r="F131" s="1276"/>
      <c r="G131" s="1276"/>
      <c r="H131" s="1276"/>
      <c r="I131" s="1276"/>
      <c r="J131" s="1276"/>
      <c r="K131" s="1276"/>
      <c r="L131" s="1088"/>
      <c r="M131" s="1088"/>
      <c r="N131" s="1422"/>
    </row>
    <row r="132" spans="1:14" ht="15.75" customHeight="1" thickBot="1">
      <c r="A132" s="1158"/>
      <c r="B132" s="1158"/>
      <c r="C132" s="1259" t="s">
        <v>76</v>
      </c>
      <c r="D132" s="1255"/>
      <c r="E132" s="1255"/>
      <c r="F132" s="1255"/>
      <c r="G132" s="1256"/>
      <c r="H132" s="320">
        <f>SUM(H130:H131)</f>
        <v>94.4</v>
      </c>
      <c r="I132" s="321">
        <f>SUM(I130:I131)</f>
        <v>94.966400000000007</v>
      </c>
      <c r="J132" s="321">
        <f>SUM(J130:J131)</f>
        <v>95.536198400000004</v>
      </c>
      <c r="K132" s="227"/>
      <c r="L132" s="62"/>
      <c r="M132" s="62"/>
      <c r="N132" s="77"/>
    </row>
    <row r="133" spans="1:14" ht="35.25" customHeight="1" thickBot="1">
      <c r="A133" s="1158"/>
      <c r="B133" s="1158"/>
      <c r="C133" s="1139" t="s">
        <v>800</v>
      </c>
      <c r="D133" s="1091"/>
      <c r="E133" s="1092"/>
      <c r="F133" s="352" t="s">
        <v>112</v>
      </c>
      <c r="G133" s="441" t="s">
        <v>79</v>
      </c>
      <c r="H133" s="941">
        <v>380</v>
      </c>
      <c r="I133" s="379">
        <f>H133*1.006</f>
        <v>382.28000000000003</v>
      </c>
      <c r="J133" s="379">
        <f>I133*1.006</f>
        <v>384.57368000000002</v>
      </c>
      <c r="K133" s="483" t="s">
        <v>562</v>
      </c>
      <c r="L133" s="484">
        <v>17</v>
      </c>
      <c r="M133" s="484">
        <v>17</v>
      </c>
      <c r="N133" s="485">
        <v>17</v>
      </c>
    </row>
    <row r="134" spans="1:14" ht="13.5" thickBot="1">
      <c r="A134" s="1158"/>
      <c r="B134" s="1161"/>
      <c r="C134" s="1386" t="s">
        <v>76</v>
      </c>
      <c r="D134" s="1367"/>
      <c r="E134" s="1367"/>
      <c r="F134" s="1367"/>
      <c r="G134" s="1367"/>
      <c r="H134" s="315">
        <f>SUM(H133)</f>
        <v>380</v>
      </c>
      <c r="I134" s="316">
        <f>SUM(I133)</f>
        <v>382.28000000000003</v>
      </c>
      <c r="J134" s="316">
        <f>SUM(J133)</f>
        <v>384.57368000000002</v>
      </c>
      <c r="K134" s="200"/>
      <c r="L134" s="208"/>
      <c r="M134" s="208"/>
      <c r="N134" s="209"/>
    </row>
    <row r="135" spans="1:14" ht="13.5" thickBot="1">
      <c r="A135" s="1158"/>
      <c r="B135" s="1100" t="s">
        <v>77</v>
      </c>
      <c r="C135" s="1315"/>
      <c r="D135" s="1315"/>
      <c r="E135" s="1315"/>
      <c r="F135" s="1315"/>
      <c r="G135" s="1315"/>
      <c r="H135" s="320">
        <f>H134+H132+H129+H124+H127</f>
        <v>1099.4000000000001</v>
      </c>
      <c r="I135" s="321">
        <f>I134+I132+I129+I124+I127</f>
        <v>1094.4264000000001</v>
      </c>
      <c r="J135" s="321">
        <f>J134+J132+J129+J124+J127</f>
        <v>1016.4889584000001</v>
      </c>
      <c r="K135" s="70"/>
      <c r="L135" s="56"/>
      <c r="M135" s="56"/>
      <c r="N135" s="88"/>
    </row>
    <row r="136" spans="1:14" ht="13.5" thickBot="1">
      <c r="A136" s="1258" t="s">
        <v>203</v>
      </c>
      <c r="B136" s="1350"/>
      <c r="C136" s="1350"/>
      <c r="D136" s="1350"/>
      <c r="E136" s="1350"/>
      <c r="F136" s="1350"/>
      <c r="G136" s="1423"/>
      <c r="H136" s="91">
        <f>H135</f>
        <v>1099.4000000000001</v>
      </c>
      <c r="I136" s="89">
        <f>I135</f>
        <v>1094.4264000000001</v>
      </c>
      <c r="J136" s="89">
        <f>J135</f>
        <v>1016.4889584000001</v>
      </c>
      <c r="K136" s="89"/>
      <c r="L136" s="60"/>
      <c r="M136" s="60"/>
      <c r="N136" s="90"/>
    </row>
    <row r="137" spans="1:14" ht="36" customHeight="1" thickBot="1">
      <c r="A137" s="1159" t="s">
        <v>43</v>
      </c>
      <c r="B137" s="1257" t="s">
        <v>332</v>
      </c>
      <c r="C137" s="1090" t="s">
        <v>339</v>
      </c>
      <c r="D137" s="1091"/>
      <c r="E137" s="1092"/>
      <c r="F137" s="430" t="s">
        <v>112</v>
      </c>
      <c r="G137" s="426" t="s">
        <v>79</v>
      </c>
      <c r="H137" s="929">
        <v>600</v>
      </c>
      <c r="I137" s="438">
        <f>H137*1.006</f>
        <v>603.6</v>
      </c>
      <c r="J137" s="438">
        <f>I137*1.006</f>
        <v>607.22160000000008</v>
      </c>
      <c r="K137" s="427" t="s">
        <v>563</v>
      </c>
      <c r="L137" s="433">
        <v>2950</v>
      </c>
      <c r="M137" s="433">
        <v>3000</v>
      </c>
      <c r="N137" s="435">
        <v>3000</v>
      </c>
    </row>
    <row r="138" spans="1:14" ht="13.5" thickBot="1">
      <c r="A138" s="1158"/>
      <c r="B138" s="1160"/>
      <c r="C138" s="1100" t="s">
        <v>76</v>
      </c>
      <c r="D138" s="1315"/>
      <c r="E138" s="1315"/>
      <c r="F138" s="1315"/>
      <c r="G138" s="1316"/>
      <c r="H138" s="320">
        <f>SUM(H137:H137)</f>
        <v>600</v>
      </c>
      <c r="I138" s="321">
        <f>SUM(I137:I137)</f>
        <v>603.6</v>
      </c>
      <c r="J138" s="321">
        <f>SUM(J137:J137)</f>
        <v>607.22160000000008</v>
      </c>
      <c r="K138" s="79"/>
      <c r="L138" s="62"/>
      <c r="M138" s="62"/>
      <c r="N138" s="77"/>
    </row>
    <row r="139" spans="1:14" ht="69" customHeight="1" thickBot="1">
      <c r="A139" s="1158"/>
      <c r="B139" s="1160"/>
      <c r="C139" s="1141" t="s">
        <v>801</v>
      </c>
      <c r="D139" s="1164"/>
      <c r="E139" s="1165"/>
      <c r="F139" s="353" t="s">
        <v>112</v>
      </c>
      <c r="G139" s="441" t="s">
        <v>79</v>
      </c>
      <c r="H139" s="936">
        <v>1800</v>
      </c>
      <c r="I139" s="439">
        <f>H139*1.006</f>
        <v>1810.8</v>
      </c>
      <c r="J139" s="439">
        <f>I139*1.006</f>
        <v>1821.6648</v>
      </c>
      <c r="K139" s="255" t="s">
        <v>564</v>
      </c>
      <c r="L139" s="270">
        <v>1850</v>
      </c>
      <c r="M139" s="270">
        <v>1880</v>
      </c>
      <c r="N139" s="271">
        <v>1890</v>
      </c>
    </row>
    <row r="140" spans="1:14" ht="13.5" thickBot="1">
      <c r="A140" s="1158"/>
      <c r="B140" s="1424"/>
      <c r="C140" s="1100" t="s">
        <v>76</v>
      </c>
      <c r="D140" s="1315"/>
      <c r="E140" s="1315"/>
      <c r="F140" s="1315"/>
      <c r="G140" s="1316"/>
      <c r="H140" s="315">
        <f>SUM(H139:H139)</f>
        <v>1800</v>
      </c>
      <c r="I140" s="316">
        <f>SUM(I139:I139)</f>
        <v>1810.8</v>
      </c>
      <c r="J140" s="316">
        <f>SUM(J139:J139)</f>
        <v>1821.6648</v>
      </c>
      <c r="K140" s="229"/>
      <c r="L140" s="266"/>
      <c r="M140" s="266"/>
      <c r="N140" s="267"/>
    </row>
    <row r="141" spans="1:14" ht="13.5" thickBot="1">
      <c r="A141" s="1158"/>
      <c r="B141" s="1100" t="s">
        <v>77</v>
      </c>
      <c r="C141" s="1315"/>
      <c r="D141" s="1315"/>
      <c r="E141" s="1315"/>
      <c r="F141" s="1315"/>
      <c r="G141" s="1315"/>
      <c r="H141" s="320">
        <f>H138+H139</f>
        <v>2400</v>
      </c>
      <c r="I141" s="321">
        <f>I138+I139</f>
        <v>2414.4</v>
      </c>
      <c r="J141" s="321">
        <f>J138+J139</f>
        <v>2428.8864000000003</v>
      </c>
      <c r="K141" s="227"/>
      <c r="L141" s="62"/>
      <c r="M141" s="62"/>
      <c r="N141" s="77"/>
    </row>
    <row r="142" spans="1:14" ht="38.25" customHeight="1">
      <c r="A142" s="1158"/>
      <c r="B142" s="1159" t="s">
        <v>44</v>
      </c>
      <c r="C142" s="1090" t="s">
        <v>280</v>
      </c>
      <c r="D142" s="1139"/>
      <c r="E142" s="1140"/>
      <c r="F142" s="1428" t="s">
        <v>112</v>
      </c>
      <c r="G142" s="1120" t="s">
        <v>79</v>
      </c>
      <c r="H142" s="1087">
        <v>562</v>
      </c>
      <c r="I142" s="1348">
        <f>H142*1.006</f>
        <v>565.37199999999996</v>
      </c>
      <c r="J142" s="1348">
        <f>I142*1.006</f>
        <v>568.76423199999999</v>
      </c>
      <c r="K142" s="250" t="s">
        <v>565</v>
      </c>
      <c r="L142" s="269">
        <v>505447</v>
      </c>
      <c r="M142" s="269">
        <v>505447</v>
      </c>
      <c r="N142" s="275">
        <v>505447</v>
      </c>
    </row>
    <row r="143" spans="1:14" ht="38.25" customHeight="1" thickBot="1">
      <c r="A143" s="1158"/>
      <c r="B143" s="1158"/>
      <c r="C143" s="1425"/>
      <c r="D143" s="1426"/>
      <c r="E143" s="1427"/>
      <c r="F143" s="1429"/>
      <c r="G143" s="1151"/>
      <c r="H143" s="1088"/>
      <c r="I143" s="1276"/>
      <c r="J143" s="1276"/>
      <c r="K143" s="354" t="s">
        <v>566</v>
      </c>
      <c r="L143" s="486">
        <v>786</v>
      </c>
      <c r="M143" s="486">
        <v>786</v>
      </c>
      <c r="N143" s="487">
        <v>786</v>
      </c>
    </row>
    <row r="144" spans="1:14" ht="13.5" thickBot="1">
      <c r="A144" s="1158"/>
      <c r="B144" s="1158"/>
      <c r="C144" s="1126" t="s">
        <v>76</v>
      </c>
      <c r="D144" s="1367"/>
      <c r="E144" s="1367"/>
      <c r="F144" s="1367"/>
      <c r="G144" s="1387"/>
      <c r="H144" s="320">
        <f>SUM(H142:H142)</f>
        <v>562</v>
      </c>
      <c r="I144" s="286">
        <f>SUM(I142:I142)</f>
        <v>565.37199999999996</v>
      </c>
      <c r="J144" s="286">
        <f>SUM(J142:J142)</f>
        <v>568.76423199999999</v>
      </c>
      <c r="K144" s="227"/>
      <c r="L144" s="62"/>
      <c r="M144" s="62"/>
      <c r="N144" s="77"/>
    </row>
    <row r="145" spans="1:14" ht="13.5" thickBot="1">
      <c r="A145" s="1158"/>
      <c r="B145" s="1126" t="s">
        <v>77</v>
      </c>
      <c r="C145" s="1367"/>
      <c r="D145" s="1367"/>
      <c r="E145" s="1367"/>
      <c r="F145" s="1367"/>
      <c r="G145" s="1387"/>
      <c r="H145" s="320">
        <f>H144</f>
        <v>562</v>
      </c>
      <c r="I145" s="286">
        <f>I144</f>
        <v>565.37199999999996</v>
      </c>
      <c r="J145" s="286">
        <f>J144</f>
        <v>568.76423199999999</v>
      </c>
      <c r="K145" s="227"/>
      <c r="L145" s="62"/>
      <c r="M145" s="62"/>
      <c r="N145" s="77"/>
    </row>
    <row r="146" spans="1:14" ht="13.5" thickBot="1">
      <c r="A146" s="1173" t="s">
        <v>203</v>
      </c>
      <c r="B146" s="1339"/>
      <c r="C146" s="1339"/>
      <c r="D146" s="1339"/>
      <c r="E146" s="1339"/>
      <c r="F146" s="1339"/>
      <c r="G146" s="1340"/>
      <c r="H146" s="320">
        <f>H145+H141</f>
        <v>2962</v>
      </c>
      <c r="I146" s="321">
        <f>I145+I141</f>
        <v>2979.7719999999999</v>
      </c>
      <c r="J146" s="321">
        <f>J145+J141</f>
        <v>2997.6506320000003</v>
      </c>
      <c r="K146" s="227"/>
      <c r="L146" s="62"/>
      <c r="M146" s="62"/>
      <c r="N146" s="77"/>
    </row>
    <row r="147" spans="1:14" ht="23.25" customHeight="1" thickBot="1">
      <c r="A147" s="1341" t="s">
        <v>45</v>
      </c>
      <c r="B147" s="1341" t="s">
        <v>46</v>
      </c>
      <c r="C147" s="1330" t="s">
        <v>361</v>
      </c>
      <c r="D147" s="1343"/>
      <c r="E147" s="1344"/>
      <c r="F147" s="352" t="s">
        <v>112</v>
      </c>
      <c r="G147" s="441" t="s">
        <v>92</v>
      </c>
      <c r="H147" s="941">
        <v>0.2</v>
      </c>
      <c r="I147" s="463">
        <f>H147*1.006</f>
        <v>0.20120000000000002</v>
      </c>
      <c r="J147" s="463">
        <f>I147*1.006</f>
        <v>0.20240720000000001</v>
      </c>
      <c r="K147" s="442" t="s">
        <v>567</v>
      </c>
      <c r="L147" s="469">
        <v>5</v>
      </c>
      <c r="M147" s="469">
        <v>10</v>
      </c>
      <c r="N147" s="470">
        <v>10</v>
      </c>
    </row>
    <row r="148" spans="1:14" ht="13.5" thickBot="1">
      <c r="A148" s="1341"/>
      <c r="B148" s="1341"/>
      <c r="C148" s="1336" t="s">
        <v>76</v>
      </c>
      <c r="D148" s="1337"/>
      <c r="E148" s="1337"/>
      <c r="F148" s="1337"/>
      <c r="G148" s="1338"/>
      <c r="H148" s="315">
        <f>SUM(H147:H147)</f>
        <v>0.2</v>
      </c>
      <c r="I148" s="316">
        <f>SUM(I147:I147)</f>
        <v>0.20120000000000002</v>
      </c>
      <c r="J148" s="316">
        <f>SUM(J147:J147)</f>
        <v>0.20240720000000001</v>
      </c>
      <c r="K148" s="229"/>
      <c r="L148" s="266"/>
      <c r="M148" s="266"/>
      <c r="N148" s="267"/>
    </row>
    <row r="149" spans="1:14" ht="17.25" customHeight="1">
      <c r="A149" s="1341"/>
      <c r="B149" s="1342"/>
      <c r="C149" s="1076" t="s">
        <v>362</v>
      </c>
      <c r="D149" s="1152"/>
      <c r="E149" s="1152"/>
      <c r="F149" s="1345" t="s">
        <v>112</v>
      </c>
      <c r="G149" s="1120" t="s">
        <v>79</v>
      </c>
      <c r="H149" s="1393">
        <v>30</v>
      </c>
      <c r="I149" s="1393">
        <f>H149*1.006</f>
        <v>30.18</v>
      </c>
      <c r="J149" s="1393">
        <f>I149*1.006</f>
        <v>30.361080000000001</v>
      </c>
      <c r="K149" s="444" t="s">
        <v>521</v>
      </c>
      <c r="L149" s="269">
        <v>50</v>
      </c>
      <c r="M149" s="269">
        <v>55</v>
      </c>
      <c r="N149" s="275">
        <v>60</v>
      </c>
    </row>
    <row r="150" spans="1:14" ht="18.75" customHeight="1" thickBot="1">
      <c r="A150" s="1341"/>
      <c r="B150" s="1342"/>
      <c r="C150" s="1096"/>
      <c r="D150" s="1097"/>
      <c r="E150" s="1097"/>
      <c r="F150" s="1069"/>
      <c r="G150" s="1151"/>
      <c r="H150" s="1069"/>
      <c r="I150" s="1069"/>
      <c r="J150" s="1069"/>
      <c r="K150" s="262" t="s">
        <v>568</v>
      </c>
      <c r="L150" s="278">
        <v>15</v>
      </c>
      <c r="M150" s="278">
        <v>15</v>
      </c>
      <c r="N150" s="279">
        <v>15</v>
      </c>
    </row>
    <row r="151" spans="1:14" ht="13.5" thickBot="1">
      <c r="A151" s="1341"/>
      <c r="B151" s="1341"/>
      <c r="C151" s="1432" t="s">
        <v>76</v>
      </c>
      <c r="D151" s="1433"/>
      <c r="E151" s="1433"/>
      <c r="F151" s="1433"/>
      <c r="G151" s="1434"/>
      <c r="H151" s="366">
        <f>SUM(H149:H149)</f>
        <v>30</v>
      </c>
      <c r="I151" s="367">
        <f>SUM(I149:I149)</f>
        <v>30.18</v>
      </c>
      <c r="J151" s="367">
        <f>SUM(J149:J149)</f>
        <v>30.361080000000001</v>
      </c>
      <c r="K151" s="78"/>
      <c r="L151" s="154"/>
      <c r="M151" s="265"/>
      <c r="N151" s="146"/>
    </row>
    <row r="152" spans="1:14" ht="15.75" customHeight="1">
      <c r="A152" s="1341"/>
      <c r="B152" s="1341"/>
      <c r="C152" s="1435" t="s">
        <v>802</v>
      </c>
      <c r="D152" s="1436"/>
      <c r="E152" s="1436"/>
      <c r="F152" s="1345" t="s">
        <v>112</v>
      </c>
      <c r="G152" s="429" t="s">
        <v>79</v>
      </c>
      <c r="H152" s="935">
        <v>63.8</v>
      </c>
      <c r="I152" s="431">
        <v>63.8</v>
      </c>
      <c r="J152" s="431">
        <v>0</v>
      </c>
      <c r="K152" s="444" t="s">
        <v>224</v>
      </c>
      <c r="L152" s="269">
        <v>35</v>
      </c>
      <c r="M152" s="269">
        <v>35</v>
      </c>
      <c r="N152" s="275"/>
    </row>
    <row r="153" spans="1:14" ht="19.5" customHeight="1" thickBot="1">
      <c r="A153" s="1341"/>
      <c r="B153" s="1341"/>
      <c r="C153" s="1146"/>
      <c r="D153" s="1147"/>
      <c r="E153" s="1147"/>
      <c r="F153" s="1069"/>
      <c r="G153" s="475" t="s">
        <v>98</v>
      </c>
      <c r="H153" s="946">
        <v>361.4</v>
      </c>
      <c r="I153" s="256">
        <v>361.4</v>
      </c>
      <c r="J153" s="256">
        <v>0</v>
      </c>
      <c r="K153" s="358" t="s">
        <v>346</v>
      </c>
      <c r="L153" s="380">
        <v>50</v>
      </c>
      <c r="M153" s="380">
        <v>100</v>
      </c>
      <c r="N153" s="488"/>
    </row>
    <row r="154" spans="1:14" ht="13.5" thickBot="1">
      <c r="A154" s="1341"/>
      <c r="B154" s="1341"/>
      <c r="C154" s="1432" t="s">
        <v>76</v>
      </c>
      <c r="D154" s="1433"/>
      <c r="E154" s="1433"/>
      <c r="F154" s="1433"/>
      <c r="G154" s="1433"/>
      <c r="H154" s="356">
        <f>H152+H153</f>
        <v>425.2</v>
      </c>
      <c r="I154" s="357">
        <f>I152+I153</f>
        <v>425.2</v>
      </c>
      <c r="J154" s="357">
        <f>J152+J153</f>
        <v>0</v>
      </c>
      <c r="K154" s="95"/>
      <c r="L154" s="34"/>
      <c r="M154" s="34"/>
      <c r="N154" s="87"/>
    </row>
    <row r="155" spans="1:14" ht="13.5" thickBot="1">
      <c r="A155" s="1341"/>
      <c r="B155" s="1336" t="s">
        <v>77</v>
      </c>
      <c r="C155" s="1437"/>
      <c r="D155" s="1437"/>
      <c r="E155" s="1437"/>
      <c r="F155" s="1437"/>
      <c r="G155" s="1437"/>
      <c r="H155" s="356">
        <f>H148+H151+H154</f>
        <v>455.4</v>
      </c>
      <c r="I155" s="357">
        <f>I148+I151+I154</f>
        <v>455.58119999999997</v>
      </c>
      <c r="J155" s="357">
        <f>J148+J151+J154</f>
        <v>30.563487200000001</v>
      </c>
      <c r="K155" s="95"/>
      <c r="L155" s="34"/>
      <c r="M155" s="34"/>
      <c r="N155" s="87"/>
    </row>
    <row r="156" spans="1:14" ht="13.5" thickBot="1">
      <c r="A156" s="1258" t="s">
        <v>203</v>
      </c>
      <c r="B156" s="1438"/>
      <c r="C156" s="1438"/>
      <c r="D156" s="1438"/>
      <c r="E156" s="1438"/>
      <c r="F156" s="1438"/>
      <c r="G156" s="1439"/>
      <c r="H156" s="376">
        <f>H155</f>
        <v>455.4</v>
      </c>
      <c r="I156" s="234">
        <f>I155</f>
        <v>455.58119999999997</v>
      </c>
      <c r="J156" s="234">
        <f>J155</f>
        <v>30.563487200000001</v>
      </c>
      <c r="K156" s="61"/>
      <c r="L156" s="154"/>
      <c r="M156" s="154"/>
      <c r="N156" s="146"/>
    </row>
    <row r="157" spans="1:14" ht="13.5" thickBot="1">
      <c r="A157" s="1431" t="s">
        <v>204</v>
      </c>
      <c r="B157" s="1339"/>
      <c r="C157" s="1339"/>
      <c r="D157" s="1339"/>
      <c r="E157" s="1339"/>
      <c r="F157" s="1339"/>
      <c r="G157" s="1340"/>
      <c r="H157" s="320">
        <f>H156+H146+H136+H122+H64</f>
        <v>17534</v>
      </c>
      <c r="I157" s="321">
        <f>I156+I146+I136+I122+I64</f>
        <v>17679.110799999999</v>
      </c>
      <c r="J157" s="321">
        <f>J156+J146+J136+J122+J64</f>
        <v>17054.628264799998</v>
      </c>
      <c r="K157" s="82"/>
      <c r="L157" s="206"/>
      <c r="M157" s="206"/>
      <c r="N157" s="40"/>
    </row>
    <row r="158" spans="1:14" ht="10.5" customHeight="1">
      <c r="A158" s="30"/>
      <c r="B158" s="38"/>
      <c r="C158" s="38"/>
      <c r="D158" s="400"/>
      <c r="E158" s="13"/>
      <c r="F158" s="13" t="s">
        <v>4</v>
      </c>
      <c r="G158" s="13"/>
      <c r="H158" s="13"/>
      <c r="I158" s="21"/>
      <c r="J158" s="21"/>
      <c r="K158" s="21"/>
      <c r="L158" s="33"/>
      <c r="M158" s="33"/>
      <c r="N158" s="33"/>
    </row>
    <row r="159" spans="1:14" s="4" customFormat="1" ht="10.5" customHeight="1">
      <c r="A159" s="15"/>
      <c r="B159" s="10"/>
      <c r="C159" s="31"/>
      <c r="D159" s="16"/>
      <c r="E159" s="17"/>
      <c r="F159" s="17"/>
      <c r="G159" s="26" t="s">
        <v>81</v>
      </c>
      <c r="H159" s="236">
        <f>SUMIF($G$8:$G$156,"SB",H$8:H$156)</f>
        <v>6173.1</v>
      </c>
      <c r="I159" s="236">
        <f>SUMIF($G$8:$G$156,"SB",I$8:I$156)</f>
        <v>6194.9676000000009</v>
      </c>
      <c r="J159" s="236">
        <f>SUMIF($G$8:$G$156,"SB",J$8:J$156)</f>
        <v>6167.954605599999</v>
      </c>
      <c r="K159" s="148"/>
      <c r="L159" s="147"/>
      <c r="M159" s="147"/>
      <c r="N159" s="147"/>
    </row>
    <row r="160" spans="1:14" s="4" customFormat="1" ht="10.5" customHeight="1">
      <c r="A160" s="15"/>
      <c r="B160" s="55"/>
      <c r="C160" s="20"/>
      <c r="D160" s="16"/>
      <c r="E160" s="17"/>
      <c r="F160" s="17"/>
      <c r="G160" s="26" t="s">
        <v>82</v>
      </c>
      <c r="H160" s="236">
        <f>SUMIF($G$8:$G$156,"VB-STD",H$8:H$156)</f>
        <v>1271.1000000000001</v>
      </c>
      <c r="I160" s="236">
        <f>SUMIF($G$8:$G$156,"VB-STD",I$8:I$156)</f>
        <v>1278.7266</v>
      </c>
      <c r="J160" s="236">
        <f>SUMIF($G$8:$G$156,"VB-STD",J$8:J$156)</f>
        <v>1286.3989595999999</v>
      </c>
      <c r="K160" s="94"/>
      <c r="L160" s="41"/>
      <c r="M160" s="41"/>
      <c r="N160" s="41"/>
    </row>
    <row r="161" spans="1:15" s="4" customFormat="1" ht="10.5" customHeight="1">
      <c r="A161" s="15"/>
      <c r="B161" s="55"/>
      <c r="C161" s="20"/>
      <c r="D161" s="7"/>
      <c r="E161" s="8"/>
      <c r="F161" s="8"/>
      <c r="G161" s="26" t="s">
        <v>83</v>
      </c>
      <c r="H161" s="236">
        <f>SUMIF($G$8:$G$156,"ES",H$8:H$156)</f>
        <v>603.70000000000005</v>
      </c>
      <c r="I161" s="236">
        <f>SUMIF($G$8:$G$156,"ES",I$8:I$156)</f>
        <v>662.4</v>
      </c>
      <c r="J161" s="236">
        <f>SUMIF($G$8:$G$156,"ES",J$8:J$156)</f>
        <v>0</v>
      </c>
      <c r="K161" s="94"/>
      <c r="L161" s="41"/>
      <c r="M161" s="41"/>
      <c r="N161" s="41"/>
    </row>
    <row r="162" spans="1:15" ht="10.5" customHeight="1">
      <c r="A162" s="15"/>
      <c r="B162" s="55"/>
      <c r="C162" s="20"/>
      <c r="D162" s="7"/>
      <c r="E162" s="8"/>
      <c r="F162" s="8"/>
      <c r="G162" s="26" t="s">
        <v>84</v>
      </c>
      <c r="H162" s="236">
        <f>SUMIF($G$8:$G$156,"SAARS",H$8:H$156)</f>
        <v>0</v>
      </c>
      <c r="I162" s="236">
        <f>SUMIF($G$8:$G$156,"SAARS",I$8:I$156)</f>
        <v>0</v>
      </c>
      <c r="J162" s="236">
        <f>SUMIF($G$8:$G$156,"SAARS",J$8:J$156)</f>
        <v>0</v>
      </c>
      <c r="K162" s="94"/>
      <c r="L162" s="41"/>
      <c r="M162" s="41"/>
      <c r="N162" s="41"/>
    </row>
    <row r="163" spans="1:15" ht="10.5" customHeight="1">
      <c r="A163" s="15"/>
      <c r="B163" s="55"/>
      <c r="C163" s="20"/>
      <c r="D163" s="7"/>
      <c r="E163" s="8"/>
      <c r="F163" s="8"/>
      <c r="G163" s="26" t="s">
        <v>85</v>
      </c>
      <c r="H163" s="236">
        <f>SUMIF($G$8:$G$156,"KPPP",H$8:H$156)</f>
        <v>0</v>
      </c>
      <c r="I163" s="236">
        <f>SUMIF($G$8:$G$156,"KPPP",I$8:I$156)</f>
        <v>0</v>
      </c>
      <c r="J163" s="236">
        <f>SUMIF($G$8:$G$156,"KPPP",J$8:J$156)</f>
        <v>0</v>
      </c>
      <c r="K163" s="94"/>
      <c r="L163" s="41"/>
      <c r="M163" s="41"/>
      <c r="N163" s="41"/>
    </row>
    <row r="164" spans="1:15" ht="15.75" customHeight="1">
      <c r="A164" s="15"/>
      <c r="B164" s="55"/>
      <c r="C164" s="20"/>
      <c r="D164" s="7"/>
      <c r="E164" s="8"/>
      <c r="F164" s="8"/>
      <c r="G164" s="27" t="s">
        <v>86</v>
      </c>
      <c r="H164" s="236">
        <f>SUMIF($G$8:$G$156,"UF",H$8:H$156)</f>
        <v>0</v>
      </c>
      <c r="I164" s="236">
        <f>SUMIF($G$8:$G$156,"UF",I$8:I$156)</f>
        <v>0</v>
      </c>
      <c r="J164" s="236">
        <f>SUMIF($G$8:$G$156,"UF",J$8:J$156)</f>
        <v>0</v>
      </c>
      <c r="K164" s="94"/>
      <c r="L164" s="41"/>
      <c r="M164" s="41"/>
      <c r="N164" s="41"/>
    </row>
    <row r="165" spans="1:15" ht="10.5" customHeight="1">
      <c r="A165" s="15"/>
      <c r="B165" s="55"/>
      <c r="C165" s="20"/>
      <c r="D165" s="7"/>
      <c r="E165" s="8"/>
      <c r="F165" s="8"/>
      <c r="G165" s="26" t="s">
        <v>87</v>
      </c>
      <c r="H165" s="236">
        <f>SUMIF($G$8:$G$156,"VB",H$8:H$156)</f>
        <v>9004</v>
      </c>
      <c r="I165" s="236">
        <f>SUMIF($G$8:$G$156,"VB",I$8:I$156)</f>
        <v>9058.0239999999994</v>
      </c>
      <c r="J165" s="236">
        <f>SUMIF($G$8:$G$156,"VB",J$8:J$156)</f>
        <v>9112.3721440000008</v>
      </c>
      <c r="K165" s="94"/>
      <c r="L165" s="41"/>
      <c r="M165" s="41"/>
      <c r="N165" s="41"/>
    </row>
    <row r="166" spans="1:15" ht="10.5" customHeight="1">
      <c r="A166" s="15"/>
      <c r="B166" s="55"/>
      <c r="C166" s="20"/>
      <c r="D166" s="7"/>
      <c r="E166" s="8"/>
      <c r="F166" s="8"/>
      <c r="G166" s="26" t="s">
        <v>88</v>
      </c>
      <c r="H166" s="236">
        <f>SUMIF($G$8:$G$156,"SL",H$8:H$156)</f>
        <v>0</v>
      </c>
      <c r="I166" s="236">
        <f>SUMIF($G$8:$G$156,"SL",I$8:I$156)</f>
        <v>0</v>
      </c>
      <c r="J166" s="236">
        <f>SUMIF($G$8:$G$156,"SL",J$8:J$156)</f>
        <v>0</v>
      </c>
      <c r="K166" s="94"/>
      <c r="L166" s="41"/>
      <c r="M166" s="41"/>
      <c r="N166" s="41"/>
    </row>
    <row r="167" spans="1:15" ht="10.5" customHeight="1">
      <c r="A167" s="24"/>
      <c r="B167" s="11"/>
      <c r="C167" s="23"/>
      <c r="D167" s="7"/>
      <c r="E167" s="8"/>
      <c r="F167" s="8"/>
      <c r="G167" s="26" t="s">
        <v>89</v>
      </c>
      <c r="H167" s="236">
        <f>SUMIF($G$8:$G$156,"PL",H$8:H$156)</f>
        <v>0</v>
      </c>
      <c r="I167" s="236">
        <f>SUMIF($G$8:$G$156,"PL",I$8:I$156)</f>
        <v>0</v>
      </c>
      <c r="J167" s="236">
        <f>SUMIF($G$8:$G$156,"PL",J$8:J$156)</f>
        <v>0</v>
      </c>
      <c r="K167" s="94"/>
      <c r="L167" s="41"/>
      <c r="M167" s="41"/>
      <c r="N167" s="41"/>
    </row>
    <row r="168" spans="1:15" ht="10.5" customHeight="1">
      <c r="A168" s="24"/>
      <c r="B168" s="11"/>
      <c r="C168" s="23"/>
      <c r="D168" s="16"/>
      <c r="E168" s="17"/>
      <c r="F168" s="17"/>
      <c r="G168" s="26" t="s">
        <v>90</v>
      </c>
      <c r="H168" s="236">
        <f>SUMIF($G$8:$G$156,"KL",H$8:H$156)</f>
        <v>0</v>
      </c>
      <c r="I168" s="236">
        <f>SUMIF($G$8:$G$156,"KL",I$8:I$156)</f>
        <v>0</v>
      </c>
      <c r="J168" s="236">
        <f>SUMIF($G$8:$G$156,"KL",J$8:J$156)</f>
        <v>0</v>
      </c>
      <c r="K168" s="148"/>
      <c r="L168" s="147"/>
      <c r="M168" s="147"/>
      <c r="N168" s="147"/>
    </row>
    <row r="169" spans="1:15" ht="12.75" customHeight="1">
      <c r="A169" s="15"/>
      <c r="B169" s="402"/>
      <c r="C169" s="403"/>
      <c r="D169" s="16"/>
      <c r="E169" s="17"/>
      <c r="F169" s="17"/>
      <c r="G169" s="26" t="s">
        <v>91</v>
      </c>
      <c r="H169" s="236">
        <f>SUMIF($G$8:$G$156,"TPP",H$8:H$156)</f>
        <v>482.1</v>
      </c>
      <c r="I169" s="236">
        <f>SUMIF($G$8:$G$156,"TPP",I$8:I$156)</f>
        <v>484.99260000000004</v>
      </c>
      <c r="J169" s="236">
        <f>SUMIF($G$8:$G$156,"TPP",J$8:J$156)</f>
        <v>487.90255560000003</v>
      </c>
      <c r="K169" s="94"/>
      <c r="L169" s="41"/>
      <c r="M169" s="41"/>
      <c r="N169" s="41"/>
    </row>
    <row r="170" spans="1:15" ht="10.5" customHeight="1">
      <c r="A170" s="48"/>
      <c r="B170" s="5"/>
      <c r="C170" s="5"/>
      <c r="D170" s="5"/>
      <c r="E170" s="5"/>
      <c r="F170" s="5"/>
      <c r="G170" s="28" t="s">
        <v>8</v>
      </c>
      <c r="H170" s="404">
        <f>SUM(H159:H169)</f>
        <v>17534</v>
      </c>
      <c r="I170" s="404">
        <f>SUM(I159:I169)</f>
        <v>17679.110800000002</v>
      </c>
      <c r="J170" s="404">
        <f>SUM(J159:J169)</f>
        <v>17054.628264800001</v>
      </c>
      <c r="K170" s="49"/>
      <c r="L170" s="51"/>
      <c r="M170" s="407"/>
      <c r="N170" s="407"/>
    </row>
    <row r="171" spans="1:15" s="4" customFormat="1">
      <c r="A171" s="564"/>
      <c r="B171" s="5"/>
      <c r="C171" s="5"/>
      <c r="D171" s="5"/>
      <c r="E171" s="5"/>
      <c r="F171" s="5"/>
      <c r="G171" s="5"/>
      <c r="H171" s="5"/>
      <c r="L171" s="565"/>
      <c r="M171" s="566"/>
      <c r="N171" s="566"/>
      <c r="O171" s="400"/>
    </row>
    <row r="172" spans="1:15" s="4" customFormat="1">
      <c r="A172" s="564"/>
      <c r="B172" s="5"/>
      <c r="C172" s="5"/>
      <c r="D172" s="5"/>
      <c r="E172" s="5"/>
      <c r="F172" s="5"/>
      <c r="G172" s="5"/>
      <c r="H172" s="5"/>
      <c r="L172" s="565"/>
      <c r="M172" s="567"/>
      <c r="N172" s="567"/>
    </row>
    <row r="173" spans="1:15" s="4" customFormat="1">
      <c r="A173" s="564"/>
      <c r="B173" s="5"/>
      <c r="C173" s="5"/>
      <c r="D173" s="5"/>
      <c r="E173" s="5"/>
      <c r="F173" s="5"/>
      <c r="G173" s="5"/>
      <c r="H173" s="5"/>
      <c r="L173" s="565"/>
      <c r="M173" s="565"/>
      <c r="N173" s="565"/>
    </row>
    <row r="174" spans="1:15" s="4" customFormat="1">
      <c r="A174" s="564"/>
      <c r="B174" s="5"/>
      <c r="C174" s="5"/>
      <c r="D174" s="5"/>
      <c r="E174" s="5"/>
      <c r="F174" s="5"/>
      <c r="G174" s="5"/>
      <c r="H174" s="5"/>
      <c r="L174" s="565"/>
      <c r="M174" s="565"/>
      <c r="N174" s="565"/>
    </row>
    <row r="175" spans="1:15" s="4" customFormat="1">
      <c r="A175" s="564"/>
      <c r="B175" s="5"/>
      <c r="C175" s="5"/>
      <c r="D175" s="5"/>
      <c r="E175" s="5"/>
      <c r="F175" s="5"/>
      <c r="G175" s="5"/>
      <c r="H175" s="5"/>
      <c r="L175" s="565"/>
      <c r="M175" s="565"/>
      <c r="N175" s="565"/>
    </row>
    <row r="176" spans="1:15" s="4" customFormat="1">
      <c r="A176" s="564"/>
      <c r="B176" s="5"/>
      <c r="C176" s="5"/>
      <c r="D176" s="5"/>
      <c r="E176" s="5"/>
      <c r="F176" s="5"/>
      <c r="G176" s="5"/>
      <c r="H176" s="5"/>
      <c r="L176" s="565"/>
      <c r="M176" s="565"/>
      <c r="N176" s="565"/>
    </row>
  </sheetData>
  <mergeCells count="214">
    <mergeCell ref="C129:G129"/>
    <mergeCell ref="C130:E131"/>
    <mergeCell ref="F130:F131"/>
    <mergeCell ref="G130:G131"/>
    <mergeCell ref="H130:H131"/>
    <mergeCell ref="I130:I131"/>
    <mergeCell ref="J130:J131"/>
    <mergeCell ref="J125:J126"/>
    <mergeCell ref="C127:G127"/>
    <mergeCell ref="C128:E128"/>
    <mergeCell ref="A157:G157"/>
    <mergeCell ref="H149:H150"/>
    <mergeCell ref="I149:I150"/>
    <mergeCell ref="J149:J150"/>
    <mergeCell ref="C151:G151"/>
    <mergeCell ref="C152:E153"/>
    <mergeCell ref="F152:F153"/>
    <mergeCell ref="C154:G154"/>
    <mergeCell ref="B155:G155"/>
    <mergeCell ref="A156:G156"/>
    <mergeCell ref="M130:M131"/>
    <mergeCell ref="N130:N131"/>
    <mergeCell ref="A136:G136"/>
    <mergeCell ref="A137:A145"/>
    <mergeCell ref="B137:B140"/>
    <mergeCell ref="C137:E137"/>
    <mergeCell ref="C139:E139"/>
    <mergeCell ref="C140:G140"/>
    <mergeCell ref="B141:G141"/>
    <mergeCell ref="B142:B144"/>
    <mergeCell ref="C142:E143"/>
    <mergeCell ref="F142:F143"/>
    <mergeCell ref="G142:G143"/>
    <mergeCell ref="H142:H143"/>
    <mergeCell ref="I142:I143"/>
    <mergeCell ref="J142:J143"/>
    <mergeCell ref="C144:G144"/>
    <mergeCell ref="B145:G145"/>
    <mergeCell ref="C138:G138"/>
    <mergeCell ref="C133:E133"/>
    <mergeCell ref="C134:G134"/>
    <mergeCell ref="A123:A135"/>
    <mergeCell ref="B123:B134"/>
    <mergeCell ref="C124:G124"/>
    <mergeCell ref="K130:K131"/>
    <mergeCell ref="L130:L131"/>
    <mergeCell ref="N108:N109"/>
    <mergeCell ref="J90:J91"/>
    <mergeCell ref="L90:L91"/>
    <mergeCell ref="M90:M91"/>
    <mergeCell ref="N90:N91"/>
    <mergeCell ref="G92:G94"/>
    <mergeCell ref="H92:H94"/>
    <mergeCell ref="I92:I94"/>
    <mergeCell ref="J92:J94"/>
    <mergeCell ref="C95:G95"/>
    <mergeCell ref="F107:F109"/>
    <mergeCell ref="C96:E96"/>
    <mergeCell ref="G108:G109"/>
    <mergeCell ref="H108:H109"/>
    <mergeCell ref="I108:I109"/>
    <mergeCell ref="J108:J109"/>
    <mergeCell ref="K108:K109"/>
    <mergeCell ref="L108:L109"/>
    <mergeCell ref="M108:M109"/>
    <mergeCell ref="C97:G97"/>
    <mergeCell ref="C98:E98"/>
    <mergeCell ref="C99:G99"/>
    <mergeCell ref="K79:K80"/>
    <mergeCell ref="L79:L80"/>
    <mergeCell ref="C100:E101"/>
    <mergeCell ref="F100:F101"/>
    <mergeCell ref="N79:N80"/>
    <mergeCell ref="C81:G81"/>
    <mergeCell ref="C82:E82"/>
    <mergeCell ref="C83:G83"/>
    <mergeCell ref="B84:G84"/>
    <mergeCell ref="B85:B105"/>
    <mergeCell ref="C85:E86"/>
    <mergeCell ref="F85:F86"/>
    <mergeCell ref="G85:G86"/>
    <mergeCell ref="H85:H86"/>
    <mergeCell ref="I85:I86"/>
    <mergeCell ref="J85:J86"/>
    <mergeCell ref="C87:G87"/>
    <mergeCell ref="C88:E88"/>
    <mergeCell ref="C89:G89"/>
    <mergeCell ref="C90:E94"/>
    <mergeCell ref="F90:F94"/>
    <mergeCell ref="G90:G91"/>
    <mergeCell ref="H90:H91"/>
    <mergeCell ref="I90:I91"/>
    <mergeCell ref="M79:M80"/>
    <mergeCell ref="A65:A121"/>
    <mergeCell ref="B65:B77"/>
    <mergeCell ref="C65:E68"/>
    <mergeCell ref="F65:F67"/>
    <mergeCell ref="C77:G77"/>
    <mergeCell ref="B78:G78"/>
    <mergeCell ref="C110:G110"/>
    <mergeCell ref="B115:B117"/>
    <mergeCell ref="C115:E116"/>
    <mergeCell ref="F115:F116"/>
    <mergeCell ref="C117:G117"/>
    <mergeCell ref="B118:G118"/>
    <mergeCell ref="C119:E119"/>
    <mergeCell ref="B120:G120"/>
    <mergeCell ref="C74:E74"/>
    <mergeCell ref="C75:G75"/>
    <mergeCell ref="C69:G69"/>
    <mergeCell ref="C70:E70"/>
    <mergeCell ref="C71:G71"/>
    <mergeCell ref="C72:E72"/>
    <mergeCell ref="C73:G73"/>
    <mergeCell ref="C76:E76"/>
    <mergeCell ref="F79:F80"/>
    <mergeCell ref="K90:K91"/>
    <mergeCell ref="H100:H101"/>
    <mergeCell ref="I100:I101"/>
    <mergeCell ref="J100:J101"/>
    <mergeCell ref="H103:H104"/>
    <mergeCell ref="I103:I104"/>
    <mergeCell ref="J103:J104"/>
    <mergeCell ref="B114:G114"/>
    <mergeCell ref="C102:G102"/>
    <mergeCell ref="C103:E104"/>
    <mergeCell ref="F103:F104"/>
    <mergeCell ref="G103:G104"/>
    <mergeCell ref="C105:G105"/>
    <mergeCell ref="B106:G106"/>
    <mergeCell ref="C107:E109"/>
    <mergeCell ref="B107:B112"/>
    <mergeCell ref="C111:E112"/>
    <mergeCell ref="G100:G101"/>
    <mergeCell ref="F111:F112"/>
    <mergeCell ref="G111:G112"/>
    <mergeCell ref="J111:J112"/>
    <mergeCell ref="B113:G113"/>
    <mergeCell ref="C125:E126"/>
    <mergeCell ref="F125:F126"/>
    <mergeCell ref="G125:G126"/>
    <mergeCell ref="H125:H126"/>
    <mergeCell ref="I125:I126"/>
    <mergeCell ref="C57:G57"/>
    <mergeCell ref="C58:E58"/>
    <mergeCell ref="C59:G59"/>
    <mergeCell ref="B60:G60"/>
    <mergeCell ref="B61:B62"/>
    <mergeCell ref="C61:E61"/>
    <mergeCell ref="C62:G62"/>
    <mergeCell ref="B63:G63"/>
    <mergeCell ref="A64:G64"/>
    <mergeCell ref="B79:B83"/>
    <mergeCell ref="C79:E80"/>
    <mergeCell ref="H111:H112"/>
    <mergeCell ref="I111:I112"/>
    <mergeCell ref="B121:G121"/>
    <mergeCell ref="A122:G122"/>
    <mergeCell ref="C148:G148"/>
    <mergeCell ref="A146:G146"/>
    <mergeCell ref="A147:A155"/>
    <mergeCell ref="B147:B154"/>
    <mergeCell ref="C147:E147"/>
    <mergeCell ref="C149:E150"/>
    <mergeCell ref="F149:F150"/>
    <mergeCell ref="G149:G150"/>
    <mergeCell ref="C132:G132"/>
    <mergeCell ref="B135:G135"/>
    <mergeCell ref="K8:K9"/>
    <mergeCell ref="L8:L9"/>
    <mergeCell ref="M8:M9"/>
    <mergeCell ref="N8:N9"/>
    <mergeCell ref="C27:G27"/>
    <mergeCell ref="C28:E28"/>
    <mergeCell ref="A5:A7"/>
    <mergeCell ref="B5:B7"/>
    <mergeCell ref="B8:B24"/>
    <mergeCell ref="B25:G25"/>
    <mergeCell ref="C26:E26"/>
    <mergeCell ref="K5:N5"/>
    <mergeCell ref="K6:K7"/>
    <mergeCell ref="L6:N6"/>
    <mergeCell ref="D5:D7"/>
    <mergeCell ref="E5:E7"/>
    <mergeCell ref="F5:F7"/>
    <mergeCell ref="G5:G7"/>
    <mergeCell ref="C11:E11"/>
    <mergeCell ref="A8:A63"/>
    <mergeCell ref="B26:B59"/>
    <mergeCell ref="C32:E54"/>
    <mergeCell ref="C55:G55"/>
    <mergeCell ref="C56:E56"/>
    <mergeCell ref="A3:J3"/>
    <mergeCell ref="C8:E9"/>
    <mergeCell ref="F8:F9"/>
    <mergeCell ref="C29:G29"/>
    <mergeCell ref="C30:E30"/>
    <mergeCell ref="C31:E31"/>
    <mergeCell ref="J5:J7"/>
    <mergeCell ref="C22:G22"/>
    <mergeCell ref="C21:E21"/>
    <mergeCell ref="C24:G24"/>
    <mergeCell ref="C10:G10"/>
    <mergeCell ref="C17:E17"/>
    <mergeCell ref="C18:E18"/>
    <mergeCell ref="C19:E19"/>
    <mergeCell ref="C12:G12"/>
    <mergeCell ref="C13:E13"/>
    <mergeCell ref="C20:G20"/>
    <mergeCell ref="C14:G14"/>
    <mergeCell ref="C16:G16"/>
    <mergeCell ref="H5:H7"/>
    <mergeCell ref="I5:I7"/>
    <mergeCell ref="C5:C7"/>
  </mergeCells>
  <phoneticPr fontId="6" type="noConversion"/>
  <pageMargins left="0.39370078740157483" right="0.39370078740157483" top="0.59055118110236227" bottom="0.39370078740157483" header="0" footer="0"/>
  <pageSetup paperSize="9" scale="93" orientation="landscape" r:id="rId1"/>
  <headerFooter alignWithMargins="0">
    <oddHeader>&amp;C2.1.-&amp;P</oddHeader>
  </headerFooter>
  <rowBreaks count="1" manualBreakCount="1">
    <brk id="14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5"/>
  <sheetViews>
    <sheetView topLeftCell="A43" zoomScaleNormal="100" zoomScaleSheetLayoutView="100" workbookViewId="0">
      <selection activeCell="C40" sqref="C40:E40"/>
    </sheetView>
  </sheetViews>
  <sheetFormatPr defaultColWidth="7.85546875" defaultRowHeight="12.75"/>
  <cols>
    <col min="1" max="1" width="9.140625" style="54" customWidth="1"/>
    <col min="2" max="2" width="11.140625" style="2" customWidth="1"/>
    <col min="3" max="5" width="8.7109375" style="2" customWidth="1"/>
    <col min="6" max="6" width="11.42578125" style="2" customWidth="1"/>
    <col min="7" max="7" width="8.5703125" style="18" customWidth="1"/>
    <col min="8" max="8" width="8.7109375" style="2" customWidth="1"/>
    <col min="9" max="10" width="8.7109375" style="226" customWidth="1"/>
    <col min="11" max="11" width="33.140625" style="226" customWidth="1"/>
    <col min="12" max="14" width="7.5703125" style="226" customWidth="1"/>
    <col min="15" max="16384" width="7.85546875" style="226"/>
  </cols>
  <sheetData>
    <row r="1" spans="1:15" ht="15.75">
      <c r="A1" s="42" t="s">
        <v>406</v>
      </c>
      <c r="B1" s="43"/>
      <c r="C1" s="43"/>
      <c r="D1" s="43"/>
      <c r="E1" s="43"/>
      <c r="F1" s="43"/>
      <c r="G1" s="43"/>
      <c r="H1" s="43"/>
      <c r="I1" s="43"/>
      <c r="J1" s="43"/>
      <c r="K1" s="226" t="s">
        <v>405</v>
      </c>
    </row>
    <row r="2" spans="1:15" ht="15.75">
      <c r="A2" s="44" t="s">
        <v>97</v>
      </c>
      <c r="B2" s="45"/>
      <c r="C2" s="45"/>
      <c r="D2" s="45"/>
      <c r="E2" s="45"/>
      <c r="F2" s="45"/>
      <c r="G2" s="45"/>
      <c r="H2" s="45"/>
      <c r="I2" s="45"/>
      <c r="J2" s="45"/>
      <c r="K2" s="226" t="s">
        <v>65</v>
      </c>
    </row>
    <row r="3" spans="1:15" ht="35.25" customHeight="1">
      <c r="A3" s="1311" t="s">
        <v>75</v>
      </c>
      <c r="B3" s="1311"/>
      <c r="C3" s="1311"/>
      <c r="D3" s="1311"/>
      <c r="E3" s="1311"/>
      <c r="F3" s="1311"/>
      <c r="G3" s="1311"/>
      <c r="H3" s="1311"/>
      <c r="I3" s="1311"/>
      <c r="J3" s="1311"/>
      <c r="K3" s="569" t="s">
        <v>391</v>
      </c>
    </row>
    <row r="4" spans="1:15" ht="3.75" customHeight="1" thickBot="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5" ht="13.5" customHeight="1">
      <c r="A5" s="1182" t="s">
        <v>68</v>
      </c>
      <c r="B5" s="1185" t="s">
        <v>69</v>
      </c>
      <c r="C5" s="1185" t="s">
        <v>70</v>
      </c>
      <c r="D5" s="1188" t="s">
        <v>27</v>
      </c>
      <c r="E5" s="1185" t="s">
        <v>71</v>
      </c>
      <c r="F5" s="1185" t="s">
        <v>5</v>
      </c>
      <c r="G5" s="1236" t="s">
        <v>72</v>
      </c>
      <c r="H5" s="1185" t="s">
        <v>449</v>
      </c>
      <c r="I5" s="1233" t="s">
        <v>390</v>
      </c>
      <c r="J5" s="1230" t="s">
        <v>450</v>
      </c>
      <c r="K5" s="1222" t="s">
        <v>73</v>
      </c>
      <c r="L5" s="1223"/>
      <c r="M5" s="1223"/>
      <c r="N5" s="1224"/>
    </row>
    <row r="6" spans="1:15" ht="13.5" customHeight="1">
      <c r="A6" s="1183"/>
      <c r="B6" s="1186"/>
      <c r="C6" s="1186"/>
      <c r="D6" s="1189"/>
      <c r="E6" s="1186"/>
      <c r="F6" s="1186"/>
      <c r="G6" s="1237"/>
      <c r="H6" s="1186"/>
      <c r="I6" s="1234"/>
      <c r="J6" s="1231"/>
      <c r="K6" s="1225" t="s">
        <v>27</v>
      </c>
      <c r="L6" s="1227" t="s">
        <v>74</v>
      </c>
      <c r="M6" s="1228"/>
      <c r="N6" s="1229"/>
    </row>
    <row r="7" spans="1:15" ht="168" customHeight="1" thickBot="1">
      <c r="A7" s="1184"/>
      <c r="B7" s="1187"/>
      <c r="C7" s="1186"/>
      <c r="D7" s="1189"/>
      <c r="E7" s="1186"/>
      <c r="F7" s="1186"/>
      <c r="G7" s="1237"/>
      <c r="H7" s="1186"/>
      <c r="I7" s="1234"/>
      <c r="J7" s="1231"/>
      <c r="K7" s="1329"/>
      <c r="L7" s="570" t="s">
        <v>177</v>
      </c>
      <c r="M7" s="570" t="s">
        <v>278</v>
      </c>
      <c r="N7" s="571" t="s">
        <v>407</v>
      </c>
    </row>
    <row r="8" spans="1:15" ht="39.75" customHeight="1" thickBot="1">
      <c r="A8" s="1159" t="s">
        <v>344</v>
      </c>
      <c r="B8" s="1159" t="s">
        <v>343</v>
      </c>
      <c r="C8" s="1330" t="s">
        <v>345</v>
      </c>
      <c r="D8" s="1343"/>
      <c r="E8" s="1344"/>
      <c r="F8" s="409" t="s">
        <v>112</v>
      </c>
      <c r="G8" s="258" t="s">
        <v>104</v>
      </c>
      <c r="H8" s="572">
        <v>78.8</v>
      </c>
      <c r="I8" s="572">
        <f>H8</f>
        <v>78.8</v>
      </c>
      <c r="J8" s="572">
        <f>I8</f>
        <v>78.8</v>
      </c>
      <c r="K8" s="337" t="s">
        <v>235</v>
      </c>
      <c r="L8" s="507">
        <v>12</v>
      </c>
      <c r="M8" s="507">
        <v>12</v>
      </c>
      <c r="N8" s="508">
        <v>12</v>
      </c>
    </row>
    <row r="9" spans="1:15" ht="13.5" thickBot="1">
      <c r="A9" s="1158"/>
      <c r="B9" s="1161"/>
      <c r="C9" s="1386" t="s">
        <v>76</v>
      </c>
      <c r="D9" s="1129"/>
      <c r="E9" s="1129"/>
      <c r="F9" s="1129"/>
      <c r="G9" s="1130"/>
      <c r="H9" s="81">
        <f>SUM(H8:H8)</f>
        <v>78.8</v>
      </c>
      <c r="I9" s="70">
        <f>SUM(I8:I8)</f>
        <v>78.8</v>
      </c>
      <c r="J9" s="70">
        <f>SUM(J8:J8)</f>
        <v>78.8</v>
      </c>
      <c r="K9" s="96"/>
      <c r="L9" s="62"/>
      <c r="M9" s="62"/>
      <c r="N9" s="77"/>
    </row>
    <row r="10" spans="1:15" ht="13.5" thickBot="1">
      <c r="A10" s="1158"/>
      <c r="B10" s="1259" t="s">
        <v>77</v>
      </c>
      <c r="C10" s="1382"/>
      <c r="D10" s="1382"/>
      <c r="E10" s="1382"/>
      <c r="F10" s="1382"/>
      <c r="G10" s="1450"/>
      <c r="H10" s="81">
        <f>H9</f>
        <v>78.8</v>
      </c>
      <c r="I10" s="70">
        <f>I9</f>
        <v>78.8</v>
      </c>
      <c r="J10" s="70">
        <f>J9</f>
        <v>78.8</v>
      </c>
      <c r="K10" s="96"/>
      <c r="L10" s="62"/>
      <c r="M10" s="62"/>
      <c r="N10" s="77"/>
    </row>
    <row r="11" spans="1:15" s="4" customFormat="1" ht="45" customHeight="1">
      <c r="A11" s="1158"/>
      <c r="B11" s="1159" t="s">
        <v>9</v>
      </c>
      <c r="C11" s="1139" t="s">
        <v>408</v>
      </c>
      <c r="D11" s="1139"/>
      <c r="E11" s="1140"/>
      <c r="F11" s="1309" t="s">
        <v>145</v>
      </c>
      <c r="G11" s="1120" t="s">
        <v>79</v>
      </c>
      <c r="H11" s="1441">
        <v>121.4</v>
      </c>
      <c r="I11" s="1087">
        <f>H11*1.006</f>
        <v>122.12840000000001</v>
      </c>
      <c r="J11" s="1087">
        <f>I11*1.006</f>
        <v>122.86117040000002</v>
      </c>
      <c r="K11" s="250" t="s">
        <v>529</v>
      </c>
      <c r="L11" s="269">
        <v>5000</v>
      </c>
      <c r="M11" s="269">
        <v>5050</v>
      </c>
      <c r="N11" s="275">
        <v>5100</v>
      </c>
      <c r="O11" s="226"/>
    </row>
    <row r="12" spans="1:15" s="4" customFormat="1" ht="26.45" customHeight="1">
      <c r="A12" s="1158"/>
      <c r="B12" s="1157"/>
      <c r="C12" s="1142"/>
      <c r="D12" s="1142"/>
      <c r="E12" s="1143"/>
      <c r="F12" s="1446"/>
      <c r="G12" s="1121"/>
      <c r="H12" s="1442"/>
      <c r="I12" s="1440"/>
      <c r="J12" s="1440"/>
      <c r="K12" s="255" t="s">
        <v>500</v>
      </c>
      <c r="L12" s="434">
        <v>350</v>
      </c>
      <c r="M12" s="434">
        <v>360</v>
      </c>
      <c r="N12" s="436">
        <v>370</v>
      </c>
      <c r="O12" s="226"/>
    </row>
    <row r="13" spans="1:15" s="4" customFormat="1" ht="45">
      <c r="A13" s="1158"/>
      <c r="B13" s="1157"/>
      <c r="C13" s="1142"/>
      <c r="D13" s="1142"/>
      <c r="E13" s="1143"/>
      <c r="F13" s="1446"/>
      <c r="G13" s="1403"/>
      <c r="H13" s="1114"/>
      <c r="I13" s="1114"/>
      <c r="J13" s="1114"/>
      <c r="K13" s="329" t="s">
        <v>359</v>
      </c>
      <c r="L13" s="573">
        <v>800</v>
      </c>
      <c r="M13" s="573">
        <v>820</v>
      </c>
      <c r="N13" s="574">
        <v>840</v>
      </c>
      <c r="O13" s="226"/>
    </row>
    <row r="14" spans="1:15" ht="23.25" thickBot="1">
      <c r="A14" s="1158"/>
      <c r="B14" s="1157"/>
      <c r="C14" s="1137"/>
      <c r="D14" s="1137"/>
      <c r="E14" s="1138"/>
      <c r="F14" s="1150"/>
      <c r="G14" s="475" t="s">
        <v>80</v>
      </c>
      <c r="H14" s="476">
        <v>3.3</v>
      </c>
      <c r="I14" s="476">
        <f>H14*1.006</f>
        <v>3.3197999999999999</v>
      </c>
      <c r="J14" s="476">
        <f>I14*1.006</f>
        <v>3.3397188</v>
      </c>
      <c r="K14" s="330" t="s">
        <v>360</v>
      </c>
      <c r="L14" s="575">
        <v>51</v>
      </c>
      <c r="M14" s="575">
        <v>51</v>
      </c>
      <c r="N14" s="576">
        <v>51</v>
      </c>
    </row>
    <row r="15" spans="1:15" ht="13.5" thickBot="1">
      <c r="A15" s="1158"/>
      <c r="B15" s="1157"/>
      <c r="C15" s="1259" t="s">
        <v>76</v>
      </c>
      <c r="D15" s="1255"/>
      <c r="E15" s="1255"/>
      <c r="F15" s="1255"/>
      <c r="G15" s="1256"/>
      <c r="H15" s="320">
        <f>SUM(H11:H14)</f>
        <v>124.7</v>
      </c>
      <c r="I15" s="321">
        <f>SUM(I11:I14)</f>
        <v>125.44820000000001</v>
      </c>
      <c r="J15" s="321">
        <f>SUM(J11:J14)</f>
        <v>126.20088920000002</v>
      </c>
      <c r="K15" s="227"/>
      <c r="L15" s="227"/>
      <c r="M15" s="227"/>
      <c r="N15" s="228"/>
    </row>
    <row r="16" spans="1:15" ht="44.25" customHeight="1">
      <c r="A16" s="1158"/>
      <c r="B16" s="1157"/>
      <c r="C16" s="1139" t="s">
        <v>803</v>
      </c>
      <c r="D16" s="1139"/>
      <c r="E16" s="1140"/>
      <c r="F16" s="1309" t="s">
        <v>145</v>
      </c>
      <c r="G16" s="1120" t="s">
        <v>92</v>
      </c>
      <c r="H16" s="1441">
        <v>207.5</v>
      </c>
      <c r="I16" s="1348">
        <f>H16*1.006</f>
        <v>208.745</v>
      </c>
      <c r="J16" s="1348">
        <f>I16*1.006</f>
        <v>209.99746999999999</v>
      </c>
      <c r="K16" s="250" t="s">
        <v>529</v>
      </c>
      <c r="L16" s="238">
        <v>20000</v>
      </c>
      <c r="M16" s="238">
        <v>20050</v>
      </c>
      <c r="N16" s="239">
        <v>20070</v>
      </c>
    </row>
    <row r="17" spans="1:15" ht="24.6" customHeight="1">
      <c r="A17" s="1158"/>
      <c r="B17" s="1157"/>
      <c r="C17" s="1142"/>
      <c r="D17" s="1142"/>
      <c r="E17" s="1143"/>
      <c r="F17" s="1446"/>
      <c r="G17" s="1121"/>
      <c r="H17" s="1442"/>
      <c r="I17" s="1461"/>
      <c r="J17" s="1461"/>
      <c r="K17" s="255" t="s">
        <v>500</v>
      </c>
      <c r="L17" s="241">
        <v>600</v>
      </c>
      <c r="M17" s="241">
        <v>610</v>
      </c>
      <c r="N17" s="242">
        <v>620</v>
      </c>
    </row>
    <row r="18" spans="1:15" ht="47.25" customHeight="1">
      <c r="A18" s="1158"/>
      <c r="B18" s="1157"/>
      <c r="C18" s="1142"/>
      <c r="D18" s="1142"/>
      <c r="E18" s="1143"/>
      <c r="F18" s="1447"/>
      <c r="G18" s="1403"/>
      <c r="H18" s="1114"/>
      <c r="I18" s="1398"/>
      <c r="J18" s="1398"/>
      <c r="K18" s="255" t="s">
        <v>359</v>
      </c>
      <c r="L18" s="247">
        <v>900</v>
      </c>
      <c r="M18" s="247">
        <v>920</v>
      </c>
      <c r="N18" s="319">
        <v>940</v>
      </c>
    </row>
    <row r="19" spans="1:15" ht="10.5" customHeight="1">
      <c r="A19" s="1158"/>
      <c r="B19" s="1157"/>
      <c r="C19" s="1142"/>
      <c r="D19" s="1142"/>
      <c r="E19" s="1143"/>
      <c r="F19" s="1" t="s">
        <v>415</v>
      </c>
      <c r="G19" s="479" t="s">
        <v>92</v>
      </c>
      <c r="H19" s="325">
        <v>3.3</v>
      </c>
      <c r="I19" s="460">
        <f t="shared" ref="I19:I24" si="0">H19*1.006</f>
        <v>3.3197999999999999</v>
      </c>
      <c r="J19" s="460">
        <f t="shared" ref="J19:J24" si="1">H19*1.006</f>
        <v>3.3197999999999999</v>
      </c>
      <c r="K19" s="263" t="s">
        <v>530</v>
      </c>
      <c r="L19" s="241">
        <f>187+26</f>
        <v>213</v>
      </c>
      <c r="M19" s="247">
        <v>240</v>
      </c>
      <c r="N19" s="577">
        <v>240</v>
      </c>
    </row>
    <row r="20" spans="1:15" ht="10.5" customHeight="1">
      <c r="A20" s="1158"/>
      <c r="B20" s="1157"/>
      <c r="C20" s="1134"/>
      <c r="D20" s="1134"/>
      <c r="E20" s="1135"/>
      <c r="F20" s="1" t="s">
        <v>131</v>
      </c>
      <c r="G20" s="479" t="s">
        <v>92</v>
      </c>
      <c r="H20" s="325">
        <v>3.3</v>
      </c>
      <c r="I20" s="460">
        <f t="shared" si="0"/>
        <v>3.3197999999999999</v>
      </c>
      <c r="J20" s="460">
        <f t="shared" si="1"/>
        <v>3.3197999999999999</v>
      </c>
      <c r="K20" s="263" t="s">
        <v>530</v>
      </c>
      <c r="L20" s="247">
        <f>190+44</f>
        <v>234</v>
      </c>
      <c r="M20" s="247">
        <v>234</v>
      </c>
      <c r="N20" s="578">
        <v>234</v>
      </c>
    </row>
    <row r="21" spans="1:15" s="185" customFormat="1" ht="10.5" customHeight="1">
      <c r="A21" s="1158"/>
      <c r="B21" s="1157"/>
      <c r="C21" s="1134"/>
      <c r="D21" s="1134"/>
      <c r="E21" s="1135"/>
      <c r="F21" s="1" t="s">
        <v>117</v>
      </c>
      <c r="G21" s="479" t="s">
        <v>92</v>
      </c>
      <c r="H21" s="325">
        <v>3.3</v>
      </c>
      <c r="I21" s="460">
        <f t="shared" si="0"/>
        <v>3.3197999999999999</v>
      </c>
      <c r="J21" s="460">
        <f t="shared" si="1"/>
        <v>3.3197999999999999</v>
      </c>
      <c r="K21" s="263" t="s">
        <v>530</v>
      </c>
      <c r="L21" s="247">
        <f>179+46</f>
        <v>225</v>
      </c>
      <c r="M21" s="247">
        <v>225</v>
      </c>
      <c r="N21" s="578">
        <v>225</v>
      </c>
      <c r="O21" s="226"/>
    </row>
    <row r="22" spans="1:15" s="185" customFormat="1" ht="10.5" customHeight="1">
      <c r="A22" s="1158"/>
      <c r="B22" s="1157"/>
      <c r="C22" s="1134"/>
      <c r="D22" s="1134"/>
      <c r="E22" s="1135"/>
      <c r="F22" s="1" t="s">
        <v>116</v>
      </c>
      <c r="G22" s="479" t="s">
        <v>92</v>
      </c>
      <c r="H22" s="325">
        <v>3.3</v>
      </c>
      <c r="I22" s="460">
        <f t="shared" si="0"/>
        <v>3.3197999999999999</v>
      </c>
      <c r="J22" s="460">
        <f t="shared" si="1"/>
        <v>3.3197999999999999</v>
      </c>
      <c r="K22" s="263" t="s">
        <v>530</v>
      </c>
      <c r="L22" s="247">
        <f>178+42</f>
        <v>220</v>
      </c>
      <c r="M22" s="247">
        <v>230</v>
      </c>
      <c r="N22" s="578">
        <v>230</v>
      </c>
      <c r="O22" s="226"/>
    </row>
    <row r="23" spans="1:15" ht="10.5" customHeight="1">
      <c r="A23" s="1158"/>
      <c r="B23" s="1157"/>
      <c r="C23" s="1134"/>
      <c r="D23" s="1134"/>
      <c r="E23" s="1135"/>
      <c r="F23" s="1" t="s">
        <v>132</v>
      </c>
      <c r="G23" s="479" t="s">
        <v>92</v>
      </c>
      <c r="H23" s="325">
        <v>3.3</v>
      </c>
      <c r="I23" s="460">
        <f t="shared" si="0"/>
        <v>3.3197999999999999</v>
      </c>
      <c r="J23" s="460">
        <f t="shared" si="1"/>
        <v>3.3197999999999999</v>
      </c>
      <c r="K23" s="263" t="s">
        <v>530</v>
      </c>
      <c r="L23" s="247">
        <f>181+43</f>
        <v>224</v>
      </c>
      <c r="M23" s="247">
        <v>230</v>
      </c>
      <c r="N23" s="578">
        <v>230</v>
      </c>
    </row>
    <row r="24" spans="1:15" ht="10.5" customHeight="1" thickBot="1">
      <c r="A24" s="1158"/>
      <c r="B24" s="1157"/>
      <c r="C24" s="1137"/>
      <c r="D24" s="1137"/>
      <c r="E24" s="1138"/>
      <c r="F24" s="211" t="s">
        <v>115</v>
      </c>
      <c r="G24" s="475" t="s">
        <v>92</v>
      </c>
      <c r="H24" s="326">
        <v>3.3</v>
      </c>
      <c r="I24" s="256">
        <f t="shared" si="0"/>
        <v>3.3197999999999999</v>
      </c>
      <c r="J24" s="256">
        <f t="shared" si="1"/>
        <v>3.3197999999999999</v>
      </c>
      <c r="K24" s="263" t="s">
        <v>530</v>
      </c>
      <c r="L24" s="248">
        <f>198+41</f>
        <v>239</v>
      </c>
      <c r="M24" s="248">
        <v>240</v>
      </c>
      <c r="N24" s="579">
        <v>240</v>
      </c>
    </row>
    <row r="25" spans="1:15" ht="13.5" thickBot="1">
      <c r="A25" s="1158"/>
      <c r="B25" s="1157"/>
      <c r="C25" s="1386" t="s">
        <v>76</v>
      </c>
      <c r="D25" s="1162"/>
      <c r="E25" s="1162"/>
      <c r="F25" s="1162"/>
      <c r="G25" s="1448"/>
      <c r="H25" s="327">
        <f>SUM(H16:H24)</f>
        <v>227.30000000000007</v>
      </c>
      <c r="I25" s="328">
        <f>SUM(I16:I24)</f>
        <v>228.66379999999992</v>
      </c>
      <c r="J25" s="328">
        <f>SUM(J16:J24)</f>
        <v>229.91626999999991</v>
      </c>
      <c r="K25" s="229"/>
      <c r="L25" s="229"/>
      <c r="M25" s="229"/>
      <c r="N25" s="230"/>
    </row>
    <row r="26" spans="1:15" ht="22.5" customHeight="1">
      <c r="A26" s="1158"/>
      <c r="B26" s="1157"/>
      <c r="C26" s="1139" t="s">
        <v>409</v>
      </c>
      <c r="D26" s="1139"/>
      <c r="E26" s="1139"/>
      <c r="F26" s="1324" t="s">
        <v>112</v>
      </c>
      <c r="G26" s="429" t="s">
        <v>79</v>
      </c>
      <c r="H26" s="431">
        <v>28.3</v>
      </c>
      <c r="I26" s="431">
        <v>0</v>
      </c>
      <c r="J26" s="431">
        <v>0</v>
      </c>
      <c r="K26" s="1458" t="s">
        <v>531</v>
      </c>
      <c r="L26" s="1460">
        <v>33479</v>
      </c>
      <c r="M26" s="1460"/>
      <c r="N26" s="1451"/>
    </row>
    <row r="27" spans="1:15" ht="22.5" customHeight="1">
      <c r="A27" s="1158"/>
      <c r="B27" s="1157"/>
      <c r="C27" s="1142"/>
      <c r="D27" s="1142"/>
      <c r="E27" s="1142"/>
      <c r="F27" s="1111"/>
      <c r="G27" s="441" t="s">
        <v>78</v>
      </c>
      <c r="H27" s="463">
        <v>0</v>
      </c>
      <c r="I27" s="463">
        <v>0</v>
      </c>
      <c r="J27" s="460">
        <v>0</v>
      </c>
      <c r="K27" s="1459"/>
      <c r="L27" s="1086"/>
      <c r="M27" s="1086"/>
      <c r="N27" s="1452"/>
    </row>
    <row r="28" spans="1:15" ht="24" customHeight="1" thickBot="1">
      <c r="A28" s="1158"/>
      <c r="B28" s="1157"/>
      <c r="C28" s="1137"/>
      <c r="D28" s="1137"/>
      <c r="E28" s="1137"/>
      <c r="F28" s="1150"/>
      <c r="G28" s="462" t="s">
        <v>98</v>
      </c>
      <c r="H28" s="439">
        <v>348.2</v>
      </c>
      <c r="I28" s="439">
        <v>0</v>
      </c>
      <c r="J28" s="463">
        <v>0</v>
      </c>
      <c r="K28" s="243" t="s">
        <v>346</v>
      </c>
      <c r="L28" s="458">
        <v>100</v>
      </c>
      <c r="M28" s="458"/>
      <c r="N28" s="580"/>
    </row>
    <row r="29" spans="1:15" ht="13.5" thickBot="1">
      <c r="A29" s="1158"/>
      <c r="B29" s="1157"/>
      <c r="C29" s="1365" t="s">
        <v>76</v>
      </c>
      <c r="D29" s="1209"/>
      <c r="E29" s="1209"/>
      <c r="F29" s="1209"/>
      <c r="G29" s="1209"/>
      <c r="H29" s="92">
        <f>H26+H27+H28</f>
        <v>376.5</v>
      </c>
      <c r="I29" s="93">
        <f>I26+I27+I28</f>
        <v>0</v>
      </c>
      <c r="J29" s="93">
        <f>J26+J27+J28</f>
        <v>0</v>
      </c>
      <c r="K29" s="181"/>
      <c r="L29" s="227"/>
      <c r="M29" s="227"/>
      <c r="N29" s="228"/>
    </row>
    <row r="30" spans="1:15" ht="38.25" customHeight="1">
      <c r="A30" s="1158"/>
      <c r="B30" s="1157"/>
      <c r="C30" s="1139" t="s">
        <v>410</v>
      </c>
      <c r="D30" s="1139"/>
      <c r="E30" s="1139"/>
      <c r="F30" s="1324" t="s">
        <v>112</v>
      </c>
      <c r="G30" s="331" t="s">
        <v>79</v>
      </c>
      <c r="H30" s="451">
        <v>1.3</v>
      </c>
      <c r="I30" s="451">
        <v>0.2</v>
      </c>
      <c r="J30" s="451">
        <v>0.2</v>
      </c>
      <c r="K30" s="1453" t="s">
        <v>532</v>
      </c>
      <c r="L30" s="1455">
        <v>27</v>
      </c>
      <c r="M30" s="1455">
        <v>15</v>
      </c>
      <c r="N30" s="1456">
        <v>10</v>
      </c>
      <c r="O30" s="212"/>
    </row>
    <row r="31" spans="1:15" ht="20.25" customHeight="1">
      <c r="A31" s="1158"/>
      <c r="B31" s="1157"/>
      <c r="C31" s="1142"/>
      <c r="D31" s="1142"/>
      <c r="E31" s="1142"/>
      <c r="F31" s="1325"/>
      <c r="G31" s="332" t="s">
        <v>78</v>
      </c>
      <c r="H31" s="463">
        <v>0.5</v>
      </c>
      <c r="I31" s="463">
        <v>0.5</v>
      </c>
      <c r="J31" s="463">
        <v>0.5</v>
      </c>
      <c r="K31" s="1454"/>
      <c r="L31" s="1398">
        <v>20</v>
      </c>
      <c r="M31" s="1398">
        <v>23</v>
      </c>
      <c r="N31" s="1457">
        <v>25</v>
      </c>
    </row>
    <row r="32" spans="1:15" ht="18" customHeight="1" thickBot="1">
      <c r="A32" s="1158"/>
      <c r="B32" s="1157"/>
      <c r="C32" s="1137"/>
      <c r="D32" s="1137"/>
      <c r="E32" s="1137"/>
      <c r="F32" s="1150"/>
      <c r="G32" s="396" t="s">
        <v>98</v>
      </c>
      <c r="H32" s="439">
        <v>5.0999999999999996</v>
      </c>
      <c r="I32" s="439">
        <v>5.0999999999999996</v>
      </c>
      <c r="J32" s="439">
        <v>5.0999999999999996</v>
      </c>
      <c r="K32" s="243" t="s">
        <v>346</v>
      </c>
      <c r="L32" s="458">
        <v>40</v>
      </c>
      <c r="M32" s="458">
        <v>80</v>
      </c>
      <c r="N32" s="580">
        <v>100</v>
      </c>
    </row>
    <row r="33" spans="1:15" ht="13.5" thickBot="1">
      <c r="A33" s="1158"/>
      <c r="B33" s="1157"/>
      <c r="C33" s="1386" t="s">
        <v>76</v>
      </c>
      <c r="D33" s="1386"/>
      <c r="E33" s="1386"/>
      <c r="F33" s="1386"/>
      <c r="G33" s="1386"/>
      <c r="H33" s="333">
        <f>H30+H32+H31</f>
        <v>6.8999999999999995</v>
      </c>
      <c r="I33" s="334">
        <f>I30+I32+I31</f>
        <v>5.8</v>
      </c>
      <c r="J33" s="334">
        <f>J30+J32+J31</f>
        <v>5.8</v>
      </c>
      <c r="K33" s="64"/>
      <c r="L33" s="227"/>
      <c r="M33" s="227"/>
      <c r="N33" s="228"/>
    </row>
    <row r="34" spans="1:15" ht="46.5" customHeight="1">
      <c r="A34" s="1158"/>
      <c r="B34" s="1157"/>
      <c r="C34" s="1139" t="s">
        <v>411</v>
      </c>
      <c r="D34" s="1139"/>
      <c r="E34" s="1139"/>
      <c r="F34" s="1120" t="s">
        <v>112</v>
      </c>
      <c r="G34" s="331" t="s">
        <v>79</v>
      </c>
      <c r="H34" s="451">
        <v>28.3</v>
      </c>
      <c r="I34" s="451">
        <v>2.2999999999999998</v>
      </c>
      <c r="J34" s="451">
        <v>4.8</v>
      </c>
      <c r="K34" s="437" t="s">
        <v>533</v>
      </c>
      <c r="L34" s="581">
        <v>476</v>
      </c>
      <c r="M34" s="437">
        <v>1111</v>
      </c>
      <c r="N34" s="582">
        <v>1429</v>
      </c>
      <c r="O34" s="212"/>
    </row>
    <row r="35" spans="1:15" ht="10.15" customHeight="1">
      <c r="A35" s="1158"/>
      <c r="B35" s="1157"/>
      <c r="C35" s="1142"/>
      <c r="D35" s="1142"/>
      <c r="E35" s="1142"/>
      <c r="F35" s="1121"/>
      <c r="G35" s="332" t="s">
        <v>78</v>
      </c>
      <c r="H35" s="463">
        <v>4.3</v>
      </c>
      <c r="I35" s="463">
        <v>2.2999999999999998</v>
      </c>
      <c r="J35" s="463">
        <v>4.8</v>
      </c>
      <c r="K35" s="1468" t="s">
        <v>346</v>
      </c>
      <c r="L35" s="1462">
        <v>30</v>
      </c>
      <c r="M35" s="1464">
        <v>70</v>
      </c>
      <c r="N35" s="1466">
        <v>90</v>
      </c>
    </row>
    <row r="36" spans="1:15" ht="10.15" customHeight="1" thickBot="1">
      <c r="A36" s="1158"/>
      <c r="B36" s="1157"/>
      <c r="C36" s="1137"/>
      <c r="D36" s="1137"/>
      <c r="E36" s="1137"/>
      <c r="F36" s="1449"/>
      <c r="G36" s="396" t="s">
        <v>98</v>
      </c>
      <c r="H36" s="439">
        <v>43.4</v>
      </c>
      <c r="I36" s="439">
        <v>25.8</v>
      </c>
      <c r="J36" s="439">
        <v>54.8</v>
      </c>
      <c r="K36" s="1469"/>
      <c r="L36" s="1463"/>
      <c r="M36" s="1465"/>
      <c r="N36" s="1467"/>
    </row>
    <row r="37" spans="1:15" ht="13.5" thickBot="1">
      <c r="A37" s="1158"/>
      <c r="B37" s="1157"/>
      <c r="C37" s="1259" t="s">
        <v>76</v>
      </c>
      <c r="D37" s="1101"/>
      <c r="E37" s="1101"/>
      <c r="F37" s="1101"/>
      <c r="G37" s="1101"/>
      <c r="H37" s="320">
        <f>H34+H36+H35</f>
        <v>76</v>
      </c>
      <c r="I37" s="320">
        <f>I34+I36+I35</f>
        <v>30.400000000000002</v>
      </c>
      <c r="J37" s="320">
        <f>J34+J36+J35</f>
        <v>64.399999999999991</v>
      </c>
      <c r="K37" s="181"/>
      <c r="L37" s="227"/>
      <c r="M37" s="227"/>
      <c r="N37" s="228"/>
    </row>
    <row r="38" spans="1:15" ht="37.15" customHeight="1" thickBot="1">
      <c r="A38" s="1158"/>
      <c r="B38" s="1157"/>
      <c r="C38" s="1139" t="s">
        <v>412</v>
      </c>
      <c r="D38" s="1139"/>
      <c r="E38" s="1139"/>
      <c r="F38" s="583" t="s">
        <v>145</v>
      </c>
      <c r="G38" s="331" t="s">
        <v>79</v>
      </c>
      <c r="H38" s="451">
        <v>5.6</v>
      </c>
      <c r="I38" s="451">
        <v>5.6</v>
      </c>
      <c r="J38" s="451">
        <v>5.6</v>
      </c>
      <c r="K38" s="427" t="s">
        <v>534</v>
      </c>
      <c r="L38" s="584">
        <v>40</v>
      </c>
      <c r="M38" s="585">
        <v>30</v>
      </c>
      <c r="N38" s="586">
        <v>20</v>
      </c>
      <c r="O38" s="212"/>
    </row>
    <row r="39" spans="1:15" ht="13.5" thickBot="1">
      <c r="A39" s="1158"/>
      <c r="B39" s="1157"/>
      <c r="C39" s="1259" t="s">
        <v>76</v>
      </c>
      <c r="D39" s="1101"/>
      <c r="E39" s="1101"/>
      <c r="F39" s="1101"/>
      <c r="G39" s="1101"/>
      <c r="H39" s="320">
        <f>H38</f>
        <v>5.6</v>
      </c>
      <c r="I39" s="320">
        <f>I38</f>
        <v>5.6</v>
      </c>
      <c r="J39" s="320">
        <f>J38</f>
        <v>5.6</v>
      </c>
      <c r="K39" s="181"/>
      <c r="L39" s="227"/>
      <c r="M39" s="227"/>
      <c r="N39" s="228"/>
    </row>
    <row r="40" spans="1:15" ht="50.25" customHeight="1" thickBot="1">
      <c r="A40" s="1158"/>
      <c r="B40" s="1179"/>
      <c r="C40" s="1139" t="s">
        <v>413</v>
      </c>
      <c r="D40" s="1139"/>
      <c r="E40" s="1139"/>
      <c r="F40" s="583" t="s">
        <v>145</v>
      </c>
      <c r="G40" s="331" t="s">
        <v>92</v>
      </c>
      <c r="H40" s="451">
        <v>51.2</v>
      </c>
      <c r="I40" s="451">
        <f>H40*1.006</f>
        <v>51.507200000000005</v>
      </c>
      <c r="J40" s="451">
        <f>I40*1.006</f>
        <v>51.816243200000002</v>
      </c>
      <c r="K40" s="427" t="s">
        <v>535</v>
      </c>
      <c r="L40" s="584">
        <v>500</v>
      </c>
      <c r="M40" s="585">
        <v>530</v>
      </c>
      <c r="N40" s="586">
        <v>560</v>
      </c>
      <c r="O40" s="212"/>
    </row>
    <row r="41" spans="1:15" ht="13.5" thickBot="1">
      <c r="A41" s="1158"/>
      <c r="B41" s="587"/>
      <c r="C41" s="1259" t="s">
        <v>76</v>
      </c>
      <c r="D41" s="1101"/>
      <c r="E41" s="1101"/>
      <c r="F41" s="1101"/>
      <c r="G41" s="1101"/>
      <c r="H41" s="320">
        <f>H40</f>
        <v>51.2</v>
      </c>
      <c r="I41" s="320">
        <f>I40</f>
        <v>51.507200000000005</v>
      </c>
      <c r="J41" s="320">
        <f>J40</f>
        <v>51.816243200000002</v>
      </c>
      <c r="K41" s="181"/>
      <c r="L41" s="227"/>
      <c r="M41" s="227"/>
      <c r="N41" s="228"/>
    </row>
    <row r="42" spans="1:15" ht="13.5" thickBot="1">
      <c r="A42" s="1161"/>
      <c r="B42" s="1100" t="s">
        <v>77</v>
      </c>
      <c r="C42" s="1259"/>
      <c r="D42" s="1259"/>
      <c r="E42" s="1259"/>
      <c r="F42" s="1259"/>
      <c r="G42" s="1445"/>
      <c r="H42" s="333">
        <f>H25+H15+H29+H33+H37+H39+H41</f>
        <v>868.2</v>
      </c>
      <c r="I42" s="333">
        <f>I25+I15+I29+I33+I37+I39+I41</f>
        <v>447.41919999999999</v>
      </c>
      <c r="J42" s="333">
        <f>J25+J15+J29+J33+J37+J39+J41</f>
        <v>483.73340239999993</v>
      </c>
      <c r="K42" s="213"/>
      <c r="L42" s="186"/>
      <c r="M42" s="186"/>
      <c r="N42" s="187"/>
    </row>
    <row r="43" spans="1:15" ht="13.5" thickBot="1">
      <c r="A43" s="1173" t="s">
        <v>203</v>
      </c>
      <c r="B43" s="1443"/>
      <c r="C43" s="1443"/>
      <c r="D43" s="1443"/>
      <c r="E43" s="1443"/>
      <c r="F43" s="1443"/>
      <c r="G43" s="1444"/>
      <c r="H43" s="333">
        <f>H10+H42</f>
        <v>947</v>
      </c>
      <c r="I43" s="334">
        <f>I10+I42</f>
        <v>526.2192</v>
      </c>
      <c r="J43" s="336">
        <f>J10+J42</f>
        <v>562.53340239999989</v>
      </c>
      <c r="K43" s="213"/>
      <c r="L43" s="186"/>
      <c r="M43" s="186"/>
      <c r="N43" s="187"/>
    </row>
    <row r="44" spans="1:15" ht="13.5" customHeight="1" thickBot="1">
      <c r="A44" s="1251" t="s">
        <v>8</v>
      </c>
      <c r="B44" s="1350"/>
      <c r="C44" s="1350"/>
      <c r="D44" s="1350"/>
      <c r="E44" s="1350"/>
      <c r="F44" s="1350"/>
      <c r="G44" s="1423"/>
      <c r="H44" s="81">
        <f>H43</f>
        <v>947</v>
      </c>
      <c r="I44" s="81">
        <f>I43</f>
        <v>526.2192</v>
      </c>
      <c r="J44" s="81">
        <f>J43</f>
        <v>562.53340239999989</v>
      </c>
      <c r="K44" s="214"/>
      <c r="L44" s="141"/>
      <c r="M44" s="141"/>
      <c r="N44" s="140"/>
    </row>
    <row r="45" spans="1:15" ht="10.5" customHeight="1">
      <c r="A45" s="30"/>
      <c r="B45" s="38"/>
      <c r="C45" s="38"/>
      <c r="D45" s="400"/>
      <c r="E45" s="13"/>
      <c r="F45" s="13" t="s">
        <v>4</v>
      </c>
      <c r="G45" s="13"/>
      <c r="H45" s="36"/>
      <c r="I45" s="37"/>
      <c r="J45" s="37"/>
      <c r="K45" s="21"/>
      <c r="L45" s="21"/>
      <c r="M45" s="21"/>
      <c r="N45" s="21"/>
    </row>
    <row r="46" spans="1:15" s="4" customFormat="1" ht="10.5" customHeight="1">
      <c r="A46" s="15"/>
      <c r="B46" s="10"/>
      <c r="C46" s="31"/>
      <c r="D46" s="16"/>
      <c r="E46" s="17"/>
      <c r="F46" s="17"/>
      <c r="G46" s="26" t="s">
        <v>81</v>
      </c>
      <c r="H46" s="236">
        <f>SUMIF($G$8:$G$43,"SB",H$8:H$43)</f>
        <v>184.90000000000003</v>
      </c>
      <c r="I46" s="236">
        <f>SUMIF($G$8:$G$43,"SB",I$8:I$43)</f>
        <v>130.22840000000002</v>
      </c>
      <c r="J46" s="236">
        <f>SUMIF($G$8:$G$43,"SB",J$8:J$43)</f>
        <v>133.46117040000001</v>
      </c>
      <c r="K46" s="148"/>
      <c r="L46" s="148"/>
      <c r="M46" s="148"/>
      <c r="N46" s="148"/>
    </row>
    <row r="47" spans="1:15" s="4" customFormat="1" ht="10.5" customHeight="1">
      <c r="A47" s="15"/>
      <c r="B47" s="55"/>
      <c r="C47" s="20"/>
      <c r="D47" s="16"/>
      <c r="E47" s="17"/>
      <c r="F47" s="17"/>
      <c r="G47" s="26" t="s">
        <v>82</v>
      </c>
      <c r="H47" s="236">
        <f>SUMIF($G$8:$G$43,"VB-STD",H$8:H$43)</f>
        <v>278.50000000000006</v>
      </c>
      <c r="I47" s="236">
        <f>SUMIF($G$8:$G$43,"VB-STD",I$8:I$43)</f>
        <v>280.17099999999994</v>
      </c>
      <c r="J47" s="236">
        <f>SUMIF($G$8:$G$43,"VB-STD",J$8:J$43)</f>
        <v>281.73251319999991</v>
      </c>
      <c r="K47" s="94"/>
      <c r="L47" s="94"/>
      <c r="M47" s="94"/>
      <c r="N47" s="94"/>
    </row>
    <row r="48" spans="1:15" s="4" customFormat="1" ht="10.5" customHeight="1">
      <c r="A48" s="15"/>
      <c r="B48" s="55"/>
      <c r="C48" s="20"/>
      <c r="D48" s="7"/>
      <c r="E48" s="8"/>
      <c r="F48" s="8"/>
      <c r="G48" s="26" t="s">
        <v>83</v>
      </c>
      <c r="H48" s="236">
        <f>SUMIF($G$8:$G$43,"ES",H$8:H$43)</f>
        <v>396.7</v>
      </c>
      <c r="I48" s="236">
        <f>SUMIF($G$8:$G$43,"ES",I$8:I$43)</f>
        <v>30.9</v>
      </c>
      <c r="J48" s="236">
        <f>SUMIF($G$8:$G$43,"ES",J$8:J$43)</f>
        <v>59.9</v>
      </c>
      <c r="K48" s="94"/>
      <c r="L48" s="94"/>
      <c r="M48" s="94"/>
      <c r="N48" s="94"/>
    </row>
    <row r="49" spans="1:15" ht="10.5" customHeight="1">
      <c r="A49" s="15"/>
      <c r="B49" s="55"/>
      <c r="C49" s="20"/>
      <c r="D49" s="7"/>
      <c r="E49" s="8"/>
      <c r="F49" s="8"/>
      <c r="G49" s="26" t="s">
        <v>84</v>
      </c>
      <c r="H49" s="236">
        <f>SUMIF($G$8:$G$43,"SAARS",H$8:H$43)</f>
        <v>78.8</v>
      </c>
      <c r="I49" s="236">
        <f>SUMIF($G$8:$G$43,"SAARS",I$8:I$43)</f>
        <v>78.8</v>
      </c>
      <c r="J49" s="236">
        <f>SUMIF($G$8:$G$43,"SAARS",J$8:J$43)</f>
        <v>78.8</v>
      </c>
      <c r="K49" s="94"/>
      <c r="L49" s="94"/>
      <c r="M49" s="94"/>
      <c r="N49" s="94"/>
    </row>
    <row r="50" spans="1:15" ht="10.5" customHeight="1">
      <c r="A50" s="15"/>
      <c r="B50" s="55"/>
      <c r="C50" s="20"/>
      <c r="D50" s="7"/>
      <c r="E50" s="8"/>
      <c r="F50" s="8"/>
      <c r="G50" s="26" t="s">
        <v>85</v>
      </c>
      <c r="H50" s="236">
        <f>SUMIF($G$8:$G$43,"KPPP",H$8:H$43)</f>
        <v>0</v>
      </c>
      <c r="I50" s="236">
        <f>SUMIF($G$8:$G$43,"KPPP",I$8:I$43)</f>
        <v>0</v>
      </c>
      <c r="J50" s="236">
        <f>SUMIF($G$8:$G$43,"KPPP",J$8:J$43)</f>
        <v>0</v>
      </c>
      <c r="K50" s="94"/>
      <c r="L50" s="94"/>
      <c r="M50" s="94"/>
      <c r="N50" s="94"/>
    </row>
    <row r="51" spans="1:15" ht="10.5" customHeight="1">
      <c r="A51" s="15"/>
      <c r="B51" s="55"/>
      <c r="C51" s="20"/>
      <c r="D51" s="7"/>
      <c r="E51" s="8"/>
      <c r="F51" s="8"/>
      <c r="G51" s="27" t="s">
        <v>86</v>
      </c>
      <c r="H51" s="236">
        <f>SUMIF($G$8:$G$43,"UF",H$8:H$43)</f>
        <v>0</v>
      </c>
      <c r="I51" s="236">
        <f>SUMIF($G$8:$G$43,"UF",I$8:I$43)</f>
        <v>0</v>
      </c>
      <c r="J51" s="236">
        <f>SUMIF($G$8:$G$43,"UF",J$8:J$43)</f>
        <v>0</v>
      </c>
      <c r="K51" s="94"/>
      <c r="L51" s="94"/>
      <c r="M51" s="94"/>
      <c r="N51" s="94"/>
    </row>
    <row r="52" spans="1:15" ht="10.5" customHeight="1">
      <c r="A52" s="15"/>
      <c r="B52" s="55"/>
      <c r="C52" s="20"/>
      <c r="D52" s="7"/>
      <c r="E52" s="8"/>
      <c r="F52" s="8"/>
      <c r="G52" s="26" t="s">
        <v>87</v>
      </c>
      <c r="H52" s="236">
        <f>SUMIF($G$8:$G$43,"VB",H$8:H$43)</f>
        <v>4.8</v>
      </c>
      <c r="I52" s="236">
        <f>SUMIF($G$8:$G$43,"VB",I$8:I$43)</f>
        <v>2.8</v>
      </c>
      <c r="J52" s="236">
        <f>SUMIF($G$8:$G$43,"VB",J$8:J$43)</f>
        <v>5.3</v>
      </c>
      <c r="K52" s="94"/>
      <c r="L52" s="94"/>
      <c r="M52" s="94"/>
      <c r="N52" s="94"/>
    </row>
    <row r="53" spans="1:15" ht="10.5" customHeight="1">
      <c r="A53" s="15"/>
      <c r="B53" s="55"/>
      <c r="C53" s="20"/>
      <c r="D53" s="7"/>
      <c r="E53" s="8"/>
      <c r="F53" s="8"/>
      <c r="G53" s="26" t="s">
        <v>88</v>
      </c>
      <c r="H53" s="236">
        <f>SUMIF($G$8:$G$43,"SL",H$8:H$43)</f>
        <v>0</v>
      </c>
      <c r="I53" s="236">
        <f>SUMIF($G$8:$G$43,"SL",I$8:I$43)</f>
        <v>0</v>
      </c>
      <c r="J53" s="236">
        <f>SUMIF($G$8:$G$43,"SL",J$8:J$43)</f>
        <v>0</v>
      </c>
      <c r="K53" s="94"/>
      <c r="L53" s="94"/>
      <c r="M53" s="94"/>
      <c r="N53" s="94"/>
    </row>
    <row r="54" spans="1:15" ht="10.5" customHeight="1">
      <c r="A54" s="24"/>
      <c r="B54" s="11"/>
      <c r="C54" s="23"/>
      <c r="D54" s="7"/>
      <c r="E54" s="8"/>
      <c r="F54" s="8"/>
      <c r="G54" s="26" t="s">
        <v>89</v>
      </c>
      <c r="H54" s="236">
        <f>SUMIF($G$8:$G$43,"PL",H$8:H$43)</f>
        <v>0</v>
      </c>
      <c r="I54" s="236">
        <f>SUMIF($G$8:$G$43,"PL",I$8:I$43)</f>
        <v>0</v>
      </c>
      <c r="J54" s="236">
        <f>SUMIF($G$8:$G$43,"PL",J$8:J$43)</f>
        <v>0</v>
      </c>
      <c r="K54" s="94"/>
      <c r="L54" s="94"/>
      <c r="M54" s="94"/>
      <c r="N54" s="94"/>
    </row>
    <row r="55" spans="1:15" ht="10.5" customHeight="1">
      <c r="A55" s="24"/>
      <c r="B55" s="11"/>
      <c r="C55" s="23"/>
      <c r="D55" s="16"/>
      <c r="E55" s="17"/>
      <c r="F55" s="17"/>
      <c r="G55" s="26" t="s">
        <v>90</v>
      </c>
      <c r="H55" s="236">
        <f>SUMIF($G$8:$G$43,"KL",H$8:H$43)</f>
        <v>0</v>
      </c>
      <c r="I55" s="236">
        <f>SUMIF($G$8:$G$43,"KL",I$8:I$43)</f>
        <v>0</v>
      </c>
      <c r="J55" s="236">
        <f>SUMIF($G$8:$G$43,"KL",J$8:J$43)</f>
        <v>0</v>
      </c>
      <c r="K55" s="148"/>
      <c r="L55" s="148"/>
      <c r="M55" s="148"/>
      <c r="N55" s="148"/>
    </row>
    <row r="56" spans="1:15" ht="10.5" customHeight="1">
      <c r="A56" s="15"/>
      <c r="B56" s="402"/>
      <c r="C56" s="403"/>
      <c r="D56" s="16"/>
      <c r="E56" s="17"/>
      <c r="F56" s="17"/>
      <c r="G56" s="26" t="s">
        <v>91</v>
      </c>
      <c r="H56" s="236">
        <f>SUMIF($G$8:$G$43,"TPP",H$8:H$43)</f>
        <v>3.3</v>
      </c>
      <c r="I56" s="236">
        <f>SUMIF($G$8:$G$43,"TPP",I$8:I$43)</f>
        <v>3.3197999999999999</v>
      </c>
      <c r="J56" s="236">
        <f>SUMIF($G$8:$G$43,"TPP",J$8:J$43)</f>
        <v>3.3397188</v>
      </c>
      <c r="K56" s="94"/>
      <c r="L56" s="94"/>
      <c r="M56" s="94"/>
      <c r="N56" s="94"/>
    </row>
    <row r="57" spans="1:15" ht="10.5" customHeight="1">
      <c r="A57" s="48"/>
      <c r="B57" s="5"/>
      <c r="C57" s="5"/>
      <c r="D57" s="5"/>
      <c r="E57" s="5"/>
      <c r="F57" s="5"/>
      <c r="G57" s="28" t="s">
        <v>8</v>
      </c>
      <c r="H57" s="404">
        <f>SUM(H46:H56)</f>
        <v>947</v>
      </c>
      <c r="I57" s="404">
        <f>SUM(I46:I56)</f>
        <v>526.21919999999989</v>
      </c>
      <c r="J57" s="404">
        <f>SUM(J46:J56)</f>
        <v>562.53340239999989</v>
      </c>
      <c r="K57" s="49"/>
      <c r="L57" s="49"/>
      <c r="M57" s="399"/>
      <c r="N57" s="399"/>
    </row>
    <row r="58" spans="1:15" s="4" customFormat="1">
      <c r="A58" s="53"/>
      <c r="B58" s="5"/>
      <c r="C58" s="5"/>
      <c r="D58" s="5"/>
      <c r="E58" s="5"/>
      <c r="F58" s="5"/>
      <c r="G58" s="19"/>
      <c r="H58" s="5"/>
      <c r="M58" s="400"/>
      <c r="N58" s="400"/>
      <c r="O58" s="400"/>
    </row>
    <row r="59" spans="1:15" s="4" customFormat="1">
      <c r="A59" s="53"/>
      <c r="B59" s="5"/>
      <c r="C59" s="5"/>
      <c r="D59" s="5"/>
      <c r="E59" s="5"/>
      <c r="F59" s="5"/>
      <c r="G59" s="19"/>
      <c r="H59" s="5"/>
      <c r="M59" s="400"/>
      <c r="N59" s="400"/>
      <c r="O59" s="400"/>
    </row>
    <row r="60" spans="1:15" s="4" customFormat="1">
      <c r="A60" s="53"/>
      <c r="B60" s="5"/>
      <c r="C60" s="5"/>
      <c r="D60" s="5"/>
      <c r="E60" s="5"/>
      <c r="F60" s="5"/>
      <c r="G60" s="19"/>
      <c r="H60" s="5"/>
      <c r="M60" s="400"/>
      <c r="N60" s="400"/>
      <c r="O60" s="400"/>
    </row>
    <row r="61" spans="1:15" s="4" customFormat="1">
      <c r="A61" s="53"/>
      <c r="B61" s="5"/>
      <c r="C61" s="5"/>
      <c r="D61" s="5"/>
      <c r="E61" s="5"/>
      <c r="F61" s="5"/>
      <c r="G61" s="19"/>
      <c r="H61" s="5"/>
    </row>
    <row r="62" spans="1:15" s="4" customFormat="1">
      <c r="A62" s="53"/>
      <c r="B62" s="5"/>
      <c r="C62" s="5"/>
      <c r="D62" s="5"/>
      <c r="E62" s="5"/>
      <c r="F62" s="5"/>
      <c r="G62" s="19"/>
      <c r="H62" s="5"/>
    </row>
    <row r="63" spans="1:15" s="4" customFormat="1">
      <c r="A63" s="53"/>
      <c r="B63" s="5"/>
      <c r="C63" s="5"/>
      <c r="D63" s="5"/>
      <c r="E63" s="5"/>
      <c r="F63" s="5"/>
      <c r="G63" s="19"/>
      <c r="H63" s="5"/>
    </row>
    <row r="64" spans="1:15" s="4" customFormat="1">
      <c r="A64" s="53"/>
      <c r="B64" s="5"/>
      <c r="C64" s="5"/>
      <c r="D64" s="5"/>
      <c r="E64" s="5"/>
      <c r="F64" s="5"/>
      <c r="G64" s="19"/>
      <c r="H64" s="5"/>
    </row>
    <row r="65" spans="1:8" s="4" customFormat="1">
      <c r="A65" s="53"/>
      <c r="B65" s="5"/>
      <c r="C65" s="5"/>
      <c r="D65" s="5"/>
      <c r="E65" s="5"/>
      <c r="F65" s="5"/>
      <c r="G65" s="19"/>
      <c r="H65" s="5"/>
    </row>
  </sheetData>
  <mergeCells count="62">
    <mergeCell ref="L35:L36"/>
    <mergeCell ref="M35:M36"/>
    <mergeCell ref="N35:N36"/>
    <mergeCell ref="K35:K36"/>
    <mergeCell ref="C30:E32"/>
    <mergeCell ref="F26:F28"/>
    <mergeCell ref="C34:E36"/>
    <mergeCell ref="F30:F32"/>
    <mergeCell ref="I16:I18"/>
    <mergeCell ref="J16:J18"/>
    <mergeCell ref="N26:N27"/>
    <mergeCell ref="K30:K31"/>
    <mergeCell ref="L30:L31"/>
    <mergeCell ref="M30:M31"/>
    <mergeCell ref="N30:N31"/>
    <mergeCell ref="K26:K27"/>
    <mergeCell ref="L26:L27"/>
    <mergeCell ref="M26:M27"/>
    <mergeCell ref="K5:N5"/>
    <mergeCell ref="K6:K7"/>
    <mergeCell ref="L6:N6"/>
    <mergeCell ref="I5:I7"/>
    <mergeCell ref="G5:G7"/>
    <mergeCell ref="H11:H13"/>
    <mergeCell ref="C8:E8"/>
    <mergeCell ref="C9:G9"/>
    <mergeCell ref="B10:G10"/>
    <mergeCell ref="C15:G15"/>
    <mergeCell ref="C11:E14"/>
    <mergeCell ref="F11:F14"/>
    <mergeCell ref="A44:G44"/>
    <mergeCell ref="A43:G43"/>
    <mergeCell ref="A8:A42"/>
    <mergeCell ref="B42:G42"/>
    <mergeCell ref="C37:G37"/>
    <mergeCell ref="F16:F18"/>
    <mergeCell ref="C29:G29"/>
    <mergeCell ref="G11:G13"/>
    <mergeCell ref="C25:G25"/>
    <mergeCell ref="C33:G33"/>
    <mergeCell ref="C39:G39"/>
    <mergeCell ref="C40:E40"/>
    <mergeCell ref="C41:G41"/>
    <mergeCell ref="C38:E38"/>
    <mergeCell ref="F34:F36"/>
    <mergeCell ref="C16:E24"/>
    <mergeCell ref="A3:J3"/>
    <mergeCell ref="A5:A7"/>
    <mergeCell ref="B5:B7"/>
    <mergeCell ref="B8:B9"/>
    <mergeCell ref="C26:E28"/>
    <mergeCell ref="J5:J7"/>
    <mergeCell ref="I11:I13"/>
    <mergeCell ref="J11:J13"/>
    <mergeCell ref="G16:G18"/>
    <mergeCell ref="H16:H18"/>
    <mergeCell ref="H5:H7"/>
    <mergeCell ref="B11:B40"/>
    <mergeCell ref="C5:C7"/>
    <mergeCell ref="D5:D7"/>
    <mergeCell ref="E5:E7"/>
    <mergeCell ref="F5:F7"/>
  </mergeCells>
  <phoneticPr fontId="6" type="noConversion"/>
  <pageMargins left="0.39370078740157483" right="0.39370078740157483" top="0.39370078740157483" bottom="0.35433070866141736" header="0" footer="0"/>
  <pageSetup paperSize="9" scale="95" orientation="landscape" r:id="rId1"/>
  <headerFooter alignWithMargins="0">
    <oddHeader>&amp;C3.1.-&amp;P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6"/>
  <sheetViews>
    <sheetView zoomScaleNormal="100" zoomScaleSheetLayoutView="100" workbookViewId="0">
      <selection activeCell="P25" sqref="P25"/>
    </sheetView>
  </sheetViews>
  <sheetFormatPr defaultColWidth="7.85546875" defaultRowHeight="12.75"/>
  <cols>
    <col min="1" max="1" width="7.42578125" style="54" customWidth="1"/>
    <col min="2" max="2" width="10.85546875" style="2" customWidth="1"/>
    <col min="3" max="5" width="9.140625" style="2" customWidth="1"/>
    <col min="6" max="6" width="10.5703125" style="2" customWidth="1"/>
    <col min="7" max="7" width="8.7109375" style="2" customWidth="1"/>
    <col min="8" max="8" width="8.42578125" style="2" customWidth="1"/>
    <col min="9" max="10" width="8.42578125" style="226" customWidth="1"/>
    <col min="11" max="11" width="27.85546875" style="226" customWidth="1"/>
    <col min="12" max="12" width="9.28515625" style="2" customWidth="1"/>
    <col min="13" max="13" width="9.42578125" style="2" customWidth="1"/>
    <col min="14" max="14" width="9.85546875" style="2" customWidth="1"/>
    <col min="15" max="16384" width="7.85546875" style="226"/>
  </cols>
  <sheetData>
    <row r="1" spans="1:15" ht="15.75">
      <c r="A1" s="42" t="s">
        <v>406</v>
      </c>
      <c r="B1" s="43"/>
      <c r="C1" s="43"/>
      <c r="D1" s="43"/>
      <c r="E1" s="43"/>
      <c r="F1" s="43"/>
      <c r="G1" s="43"/>
      <c r="H1" s="43"/>
      <c r="I1" s="43"/>
      <c r="J1" s="43"/>
      <c r="K1" s="226" t="s">
        <v>405</v>
      </c>
    </row>
    <row r="2" spans="1:15" ht="15.75">
      <c r="A2" s="44" t="s">
        <v>99</v>
      </c>
      <c r="B2" s="45"/>
      <c r="C2" s="45"/>
      <c r="D2" s="45"/>
      <c r="E2" s="45"/>
      <c r="F2" s="45"/>
      <c r="G2" s="45"/>
      <c r="H2" s="45"/>
      <c r="I2" s="45"/>
      <c r="J2" s="45"/>
      <c r="K2" s="226" t="s">
        <v>65</v>
      </c>
    </row>
    <row r="3" spans="1:15" ht="30.75" customHeight="1">
      <c r="A3" s="1311" t="s">
        <v>75</v>
      </c>
      <c r="B3" s="1311"/>
      <c r="C3" s="1311"/>
      <c r="D3" s="1311"/>
      <c r="E3" s="1311"/>
      <c r="F3" s="1311"/>
      <c r="G3" s="1311"/>
      <c r="H3" s="1311"/>
      <c r="I3" s="1311"/>
      <c r="J3" s="1311"/>
      <c r="K3" s="1470" t="s">
        <v>394</v>
      </c>
      <c r="L3" s="1470"/>
    </row>
    <row r="4" spans="1:15" ht="16.5" thickBot="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5" ht="12" customHeight="1">
      <c r="A5" s="1182" t="s">
        <v>68</v>
      </c>
      <c r="B5" s="1185" t="s">
        <v>69</v>
      </c>
      <c r="C5" s="1185" t="s">
        <v>70</v>
      </c>
      <c r="D5" s="1185" t="s">
        <v>27</v>
      </c>
      <c r="E5" s="1191" t="s">
        <v>71</v>
      </c>
      <c r="F5" s="1185" t="s">
        <v>5</v>
      </c>
      <c r="G5" s="1236" t="s">
        <v>72</v>
      </c>
      <c r="H5" s="1185" t="s">
        <v>449</v>
      </c>
      <c r="I5" s="1233" t="s">
        <v>390</v>
      </c>
      <c r="J5" s="1230" t="s">
        <v>450</v>
      </c>
      <c r="K5" s="1222" t="s">
        <v>73</v>
      </c>
      <c r="L5" s="1223"/>
      <c r="M5" s="1223"/>
      <c r="N5" s="1224"/>
    </row>
    <row r="6" spans="1:15" ht="12" customHeight="1">
      <c r="A6" s="1183"/>
      <c r="B6" s="1186"/>
      <c r="C6" s="1186"/>
      <c r="D6" s="1186"/>
      <c r="E6" s="1192"/>
      <c r="F6" s="1186"/>
      <c r="G6" s="1237"/>
      <c r="H6" s="1186"/>
      <c r="I6" s="1234"/>
      <c r="J6" s="1231"/>
      <c r="K6" s="1225" t="s">
        <v>27</v>
      </c>
      <c r="L6" s="1227" t="s">
        <v>74</v>
      </c>
      <c r="M6" s="1228"/>
      <c r="N6" s="1229"/>
    </row>
    <row r="7" spans="1:15" ht="148.5" customHeight="1" thickBot="1">
      <c r="A7" s="1184"/>
      <c r="B7" s="1187"/>
      <c r="C7" s="1186"/>
      <c r="D7" s="1186"/>
      <c r="E7" s="1192"/>
      <c r="F7" s="1186"/>
      <c r="G7" s="1237"/>
      <c r="H7" s="1186"/>
      <c r="I7" s="1234"/>
      <c r="J7" s="1231"/>
      <c r="K7" s="1226"/>
      <c r="L7" s="46" t="s">
        <v>177</v>
      </c>
      <c r="M7" s="46" t="s">
        <v>278</v>
      </c>
      <c r="N7" s="47" t="s">
        <v>407</v>
      </c>
    </row>
    <row r="8" spans="1:15" s="4" customFormat="1" ht="22.5" customHeight="1">
      <c r="A8" s="1341" t="s">
        <v>347</v>
      </c>
      <c r="B8" s="1157" t="s">
        <v>354</v>
      </c>
      <c r="C8" s="1090" t="s">
        <v>804</v>
      </c>
      <c r="D8" s="1091"/>
      <c r="E8" s="1092"/>
      <c r="F8" s="1324" t="s">
        <v>112</v>
      </c>
      <c r="G8" s="1120" t="s">
        <v>79</v>
      </c>
      <c r="H8" s="1087">
        <v>75.5</v>
      </c>
      <c r="I8" s="1348">
        <v>100</v>
      </c>
      <c r="J8" s="1348">
        <v>160</v>
      </c>
      <c r="K8" s="450" t="s">
        <v>452</v>
      </c>
      <c r="L8" s="241"/>
      <c r="M8" s="241"/>
      <c r="N8" s="242">
        <v>6</v>
      </c>
    </row>
    <row r="9" spans="1:15" ht="33.75" customHeight="1">
      <c r="A9" s="1341"/>
      <c r="B9" s="1157"/>
      <c r="C9" s="1380"/>
      <c r="D9" s="1475"/>
      <c r="E9" s="1165"/>
      <c r="F9" s="1349"/>
      <c r="G9" s="1411"/>
      <c r="H9" s="1471"/>
      <c r="I9" s="1471"/>
      <c r="J9" s="1471"/>
      <c r="K9" s="447" t="s">
        <v>453</v>
      </c>
      <c r="L9" s="247">
        <v>1</v>
      </c>
      <c r="M9" s="247"/>
      <c r="N9" s="319"/>
    </row>
    <row r="10" spans="1:15">
      <c r="A10" s="1341"/>
      <c r="B10" s="1157"/>
      <c r="C10" s="1380"/>
      <c r="D10" s="1475"/>
      <c r="E10" s="1165"/>
      <c r="F10" s="1349"/>
      <c r="G10" s="1411"/>
      <c r="H10" s="1471"/>
      <c r="I10" s="1471"/>
      <c r="J10" s="1471"/>
      <c r="K10" s="341" t="s">
        <v>414</v>
      </c>
      <c r="L10" s="456">
        <v>3</v>
      </c>
      <c r="M10" s="456">
        <v>5</v>
      </c>
      <c r="N10" s="459">
        <v>7</v>
      </c>
      <c r="O10" s="225"/>
    </row>
    <row r="11" spans="1:15" ht="13.5" thickBot="1">
      <c r="A11" s="1341"/>
      <c r="B11" s="1157"/>
      <c r="C11" s="1380"/>
      <c r="D11" s="1475"/>
      <c r="E11" s="1165"/>
      <c r="F11" s="1276"/>
      <c r="G11" s="1151"/>
      <c r="H11" s="1472"/>
      <c r="I11" s="1472"/>
      <c r="J11" s="1472"/>
      <c r="K11" s="341" t="s">
        <v>454</v>
      </c>
      <c r="L11" s="456">
        <v>4</v>
      </c>
      <c r="M11" s="456">
        <v>6</v>
      </c>
      <c r="N11" s="459">
        <v>8</v>
      </c>
    </row>
    <row r="12" spans="1:15" ht="13.5" thickBot="1">
      <c r="A12" s="1341"/>
      <c r="B12" s="1157"/>
      <c r="C12" s="1126" t="s">
        <v>76</v>
      </c>
      <c r="D12" s="1367"/>
      <c r="E12" s="1367"/>
      <c r="F12" s="1367"/>
      <c r="G12" s="1387"/>
      <c r="H12" s="315">
        <f>SUM(H8:H9)</f>
        <v>75.5</v>
      </c>
      <c r="I12" s="316">
        <f>SUM(I8:I9)</f>
        <v>100</v>
      </c>
      <c r="J12" s="316">
        <f>SUM(J8:J9)</f>
        <v>160</v>
      </c>
      <c r="K12" s="210"/>
      <c r="L12" s="588"/>
      <c r="M12" s="588"/>
      <c r="N12" s="589"/>
    </row>
    <row r="13" spans="1:15" ht="13.5" thickBot="1">
      <c r="A13" s="1341"/>
      <c r="B13" s="1157"/>
      <c r="C13" s="1126" t="s">
        <v>77</v>
      </c>
      <c r="D13" s="1367"/>
      <c r="E13" s="1367"/>
      <c r="F13" s="1367"/>
      <c r="G13" s="1367"/>
      <c r="H13" s="320">
        <f t="shared" ref="H13:J14" si="0">H12</f>
        <v>75.5</v>
      </c>
      <c r="I13" s="320">
        <f t="shared" si="0"/>
        <v>100</v>
      </c>
      <c r="J13" s="320">
        <f t="shared" si="0"/>
        <v>160</v>
      </c>
      <c r="K13" s="71"/>
      <c r="L13" s="102"/>
      <c r="M13" s="102"/>
      <c r="N13" s="127"/>
    </row>
    <row r="14" spans="1:15" ht="13.5" thickBot="1">
      <c r="A14" s="1173" t="s">
        <v>203</v>
      </c>
      <c r="B14" s="1339"/>
      <c r="C14" s="1473"/>
      <c r="D14" s="1473"/>
      <c r="E14" s="1473"/>
      <c r="F14" s="1473"/>
      <c r="G14" s="1474"/>
      <c r="H14" s="366">
        <f t="shared" si="0"/>
        <v>75.5</v>
      </c>
      <c r="I14" s="367">
        <f t="shared" si="0"/>
        <v>100</v>
      </c>
      <c r="J14" s="367">
        <f t="shared" si="0"/>
        <v>160</v>
      </c>
      <c r="K14" s="61"/>
      <c r="L14" s="76"/>
      <c r="M14" s="76"/>
      <c r="N14" s="129"/>
    </row>
    <row r="15" spans="1:15" ht="61.9" customHeight="1">
      <c r="A15" s="1159" t="s">
        <v>431</v>
      </c>
      <c r="B15" s="1487" t="s">
        <v>164</v>
      </c>
      <c r="C15" s="1076" t="s">
        <v>805</v>
      </c>
      <c r="D15" s="1483"/>
      <c r="E15" s="1483"/>
      <c r="F15" s="1324" t="s">
        <v>112</v>
      </c>
      <c r="G15" s="429" t="s">
        <v>79</v>
      </c>
      <c r="H15" s="448">
        <v>15</v>
      </c>
      <c r="I15" s="448">
        <v>15</v>
      </c>
      <c r="J15" s="448">
        <v>15</v>
      </c>
      <c r="K15" s="1405" t="s">
        <v>253</v>
      </c>
      <c r="L15" s="1480">
        <v>8</v>
      </c>
      <c r="M15" s="1480">
        <v>8</v>
      </c>
      <c r="N15" s="1291">
        <v>8</v>
      </c>
    </row>
    <row r="16" spans="1:15" ht="61.9" customHeight="1" thickBot="1">
      <c r="A16" s="1158"/>
      <c r="B16" s="1488"/>
      <c r="C16" s="1484"/>
      <c r="D16" s="1485"/>
      <c r="E16" s="1485"/>
      <c r="F16" s="1486"/>
      <c r="G16" s="475" t="s">
        <v>150</v>
      </c>
      <c r="H16" s="467">
        <v>10</v>
      </c>
      <c r="I16" s="467">
        <v>10</v>
      </c>
      <c r="J16" s="467">
        <v>10</v>
      </c>
      <c r="K16" s="1347"/>
      <c r="L16" s="1151"/>
      <c r="M16" s="1151"/>
      <c r="N16" s="1482"/>
    </row>
    <row r="17" spans="1:15" s="185" customFormat="1" ht="13.5" thickBot="1">
      <c r="A17" s="1158"/>
      <c r="B17" s="1488"/>
      <c r="C17" s="1106" t="s">
        <v>76</v>
      </c>
      <c r="D17" s="1320"/>
      <c r="E17" s="1320"/>
      <c r="F17" s="1320"/>
      <c r="G17" s="1320"/>
      <c r="H17" s="320">
        <f>H15+H16</f>
        <v>25</v>
      </c>
      <c r="I17" s="321">
        <f>I15+I16</f>
        <v>25</v>
      </c>
      <c r="J17" s="335">
        <f>J15+J16</f>
        <v>25</v>
      </c>
      <c r="K17" s="368"/>
      <c r="L17" s="162"/>
      <c r="M17" s="162"/>
      <c r="N17" s="130"/>
      <c r="O17" s="226"/>
    </row>
    <row r="18" spans="1:15" ht="13.5" thickBot="1">
      <c r="A18" s="1158"/>
      <c r="B18" s="1259" t="s">
        <v>77</v>
      </c>
      <c r="C18" s="1315"/>
      <c r="D18" s="1315"/>
      <c r="E18" s="1315"/>
      <c r="F18" s="1315"/>
      <c r="G18" s="1316"/>
      <c r="H18" s="357">
        <f>H17</f>
        <v>25</v>
      </c>
      <c r="I18" s="357">
        <f>I17</f>
        <v>25</v>
      </c>
      <c r="J18" s="357">
        <f>J17</f>
        <v>25</v>
      </c>
      <c r="K18" s="227"/>
      <c r="L18" s="102"/>
      <c r="M18" s="102"/>
      <c r="N18" s="127"/>
    </row>
    <row r="19" spans="1:15" ht="34.15" customHeight="1" thickBot="1">
      <c r="A19" s="1158"/>
      <c r="B19" s="1352" t="s">
        <v>33</v>
      </c>
      <c r="C19" s="1090" t="s">
        <v>806</v>
      </c>
      <c r="D19" s="1091"/>
      <c r="E19" s="1091"/>
      <c r="F19" s="423" t="s">
        <v>112</v>
      </c>
      <c r="G19" s="441" t="s">
        <v>79</v>
      </c>
      <c r="H19" s="453">
        <v>2</v>
      </c>
      <c r="I19" s="463">
        <f>H19</f>
        <v>2</v>
      </c>
      <c r="J19" s="463">
        <f>I19</f>
        <v>2</v>
      </c>
      <c r="K19" s="440" t="s">
        <v>349</v>
      </c>
      <c r="L19" s="590">
        <v>140</v>
      </c>
      <c r="M19" s="590">
        <v>140</v>
      </c>
      <c r="N19" s="591">
        <v>140</v>
      </c>
    </row>
    <row r="20" spans="1:15" s="185" customFormat="1" ht="13.5" thickBot="1">
      <c r="A20" s="1158"/>
      <c r="B20" s="1353"/>
      <c r="C20" s="1100" t="s">
        <v>76</v>
      </c>
      <c r="D20" s="1315"/>
      <c r="E20" s="1315"/>
      <c r="F20" s="1315"/>
      <c r="G20" s="1315"/>
      <c r="H20" s="320">
        <f>SUM(H19:H19)</f>
        <v>2</v>
      </c>
      <c r="I20" s="321">
        <f>SUM(I19:I19)</f>
        <v>2</v>
      </c>
      <c r="J20" s="321">
        <f>SUM(J19:J19)</f>
        <v>2</v>
      </c>
      <c r="K20" s="39"/>
      <c r="L20" s="223"/>
      <c r="M20" s="223"/>
      <c r="N20" s="224"/>
    </row>
    <row r="21" spans="1:15" ht="24.75" customHeight="1" thickBot="1">
      <c r="A21" s="1158"/>
      <c r="B21" s="1353"/>
      <c r="C21" s="1090" t="s">
        <v>353</v>
      </c>
      <c r="D21" s="1131"/>
      <c r="E21" s="1132"/>
      <c r="F21" s="423" t="s">
        <v>112</v>
      </c>
      <c r="G21" s="441" t="s">
        <v>79</v>
      </c>
      <c r="H21" s="453">
        <v>440</v>
      </c>
      <c r="I21" s="453">
        <f>H21</f>
        <v>440</v>
      </c>
      <c r="J21" s="453">
        <f>I21</f>
        <v>440</v>
      </c>
      <c r="K21" s="408" t="s">
        <v>348</v>
      </c>
      <c r="L21" s="592">
        <v>27</v>
      </c>
      <c r="M21" s="592">
        <v>26</v>
      </c>
      <c r="N21" s="593">
        <v>25</v>
      </c>
    </row>
    <row r="22" spans="1:15" ht="13.5" thickBot="1">
      <c r="A22" s="1158"/>
      <c r="B22" s="1353"/>
      <c r="C22" s="1126" t="s">
        <v>76</v>
      </c>
      <c r="D22" s="1367"/>
      <c r="E22" s="1367"/>
      <c r="F22" s="1367"/>
      <c r="G22" s="1387"/>
      <c r="H22" s="315">
        <f>SUM(H21)</f>
        <v>440</v>
      </c>
      <c r="I22" s="316">
        <f>SUM(I21)</f>
        <v>440</v>
      </c>
      <c r="J22" s="316">
        <f>SUM(J21)</f>
        <v>440</v>
      </c>
      <c r="K22" s="229"/>
      <c r="L22" s="133"/>
      <c r="M22" s="133"/>
      <c r="N22" s="134"/>
    </row>
    <row r="23" spans="1:15" ht="13.5" thickBot="1">
      <c r="A23" s="1158"/>
      <c r="B23" s="1100" t="s">
        <v>77</v>
      </c>
      <c r="C23" s="1382"/>
      <c r="D23" s="1382"/>
      <c r="E23" s="1382"/>
      <c r="F23" s="1382"/>
      <c r="G23" s="1382"/>
      <c r="H23" s="70">
        <f>H20+H22</f>
        <v>442</v>
      </c>
      <c r="I23" s="70">
        <f>I20+I22</f>
        <v>442</v>
      </c>
      <c r="J23" s="70">
        <f>J20+J22</f>
        <v>442</v>
      </c>
      <c r="K23" s="39"/>
      <c r="L23" s="102"/>
      <c r="M23" s="102"/>
      <c r="N23" s="127"/>
    </row>
    <row r="24" spans="1:15" ht="27" customHeight="1">
      <c r="A24" s="1158"/>
      <c r="B24" s="1157" t="s">
        <v>100</v>
      </c>
      <c r="C24" s="1141" t="s">
        <v>358</v>
      </c>
      <c r="D24" s="1142"/>
      <c r="E24" s="1143"/>
      <c r="F24" s="1325" t="s">
        <v>112</v>
      </c>
      <c r="G24" s="1121" t="s">
        <v>92</v>
      </c>
      <c r="H24" s="1461">
        <v>134.6</v>
      </c>
      <c r="I24" s="1461">
        <f>H24</f>
        <v>134.6</v>
      </c>
      <c r="J24" s="1461">
        <f>I24</f>
        <v>134.6</v>
      </c>
      <c r="K24" s="450" t="s">
        <v>528</v>
      </c>
      <c r="L24" s="241">
        <v>60</v>
      </c>
      <c r="M24" s="241">
        <v>60</v>
      </c>
      <c r="N24" s="242">
        <v>60</v>
      </c>
    </row>
    <row r="25" spans="1:15" ht="24" customHeight="1" thickBot="1">
      <c r="A25" s="1158"/>
      <c r="B25" s="1158"/>
      <c r="C25" s="1141"/>
      <c r="D25" s="1142"/>
      <c r="E25" s="1143"/>
      <c r="F25" s="1111"/>
      <c r="G25" s="1403"/>
      <c r="H25" s="1481"/>
      <c r="I25" s="1481"/>
      <c r="J25" s="1481"/>
      <c r="K25" s="363" t="s">
        <v>222</v>
      </c>
      <c r="L25" s="594">
        <v>0.09</v>
      </c>
      <c r="M25" s="595">
        <v>8.5000000000000006E-2</v>
      </c>
      <c r="N25" s="596">
        <v>0.08</v>
      </c>
    </row>
    <row r="26" spans="1:15" ht="13.5" thickBot="1">
      <c r="A26" s="1158"/>
      <c r="B26" s="1158"/>
      <c r="C26" s="1259" t="s">
        <v>76</v>
      </c>
      <c r="D26" s="1315"/>
      <c r="E26" s="1315"/>
      <c r="F26" s="1315"/>
      <c r="G26" s="1316"/>
      <c r="H26" s="315">
        <f>SUM(H24:H25)</f>
        <v>134.6</v>
      </c>
      <c r="I26" s="316">
        <f>SUM(I24:I25)</f>
        <v>134.6</v>
      </c>
      <c r="J26" s="316">
        <f>SUM(J24:J25)</f>
        <v>134.6</v>
      </c>
      <c r="K26" s="200"/>
      <c r="L26" s="201"/>
      <c r="M26" s="201"/>
      <c r="N26" s="202"/>
    </row>
    <row r="27" spans="1:15" ht="13.5" thickBot="1">
      <c r="A27" s="1158"/>
      <c r="B27" s="1100" t="s">
        <v>77</v>
      </c>
      <c r="C27" s="1367"/>
      <c r="D27" s="1367"/>
      <c r="E27" s="1367"/>
      <c r="F27" s="1367"/>
      <c r="G27" s="1367"/>
      <c r="H27" s="315">
        <f>H26</f>
        <v>134.6</v>
      </c>
      <c r="I27" s="316">
        <f>I26</f>
        <v>134.6</v>
      </c>
      <c r="J27" s="316">
        <f>J26</f>
        <v>134.6</v>
      </c>
      <c r="K27" s="229"/>
      <c r="L27" s="133"/>
      <c r="M27" s="133"/>
      <c r="N27" s="134"/>
    </row>
    <row r="28" spans="1:15" ht="26.25" customHeight="1" thickBot="1">
      <c r="A28" s="1158"/>
      <c r="B28" s="1477" t="s">
        <v>351</v>
      </c>
      <c r="C28" s="1478" t="s">
        <v>807</v>
      </c>
      <c r="D28" s="1169"/>
      <c r="E28" s="1169"/>
      <c r="F28" s="257" t="s">
        <v>112</v>
      </c>
      <c r="G28" s="258" t="s">
        <v>79</v>
      </c>
      <c r="H28" s="369">
        <v>4</v>
      </c>
      <c r="I28" s="369">
        <v>10</v>
      </c>
      <c r="J28" s="369">
        <v>10</v>
      </c>
      <c r="K28" s="597" t="s">
        <v>352</v>
      </c>
      <c r="L28" s="365">
        <v>3</v>
      </c>
      <c r="M28" s="365">
        <v>3</v>
      </c>
      <c r="N28" s="259">
        <v>3</v>
      </c>
    </row>
    <row r="29" spans="1:15" ht="13.5" thickBot="1">
      <c r="A29" s="1158"/>
      <c r="B29" s="1341"/>
      <c r="C29" s="1106" t="s">
        <v>76</v>
      </c>
      <c r="D29" s="1320"/>
      <c r="E29" s="1320"/>
      <c r="F29" s="1320"/>
      <c r="G29" s="1479"/>
      <c r="H29" s="356">
        <f>SUM(H28:H28)</f>
        <v>4</v>
      </c>
      <c r="I29" s="357">
        <f>SUM(I28:I28)</f>
        <v>10</v>
      </c>
      <c r="J29" s="357">
        <f>SUM(J28:J28)</f>
        <v>10</v>
      </c>
      <c r="K29" s="95"/>
      <c r="L29" s="162"/>
      <c r="M29" s="162"/>
      <c r="N29" s="130"/>
    </row>
    <row r="30" spans="1:15" ht="45" customHeight="1" thickBot="1">
      <c r="A30" s="1158"/>
      <c r="B30" s="1341"/>
      <c r="C30" s="1476" t="s">
        <v>808</v>
      </c>
      <c r="D30" s="1261"/>
      <c r="E30" s="1261"/>
      <c r="F30" s="423" t="s">
        <v>112</v>
      </c>
      <c r="G30" s="598" t="s">
        <v>79</v>
      </c>
      <c r="H30" s="463">
        <v>6</v>
      </c>
      <c r="I30" s="463">
        <v>6</v>
      </c>
      <c r="J30" s="463">
        <v>6</v>
      </c>
      <c r="K30" s="463" t="s">
        <v>350</v>
      </c>
      <c r="L30" s="424">
        <v>490</v>
      </c>
      <c r="M30" s="424">
        <v>490</v>
      </c>
      <c r="N30" s="425">
        <v>490</v>
      </c>
    </row>
    <row r="31" spans="1:15" ht="13.5" thickBot="1">
      <c r="A31" s="1158"/>
      <c r="B31" s="1341"/>
      <c r="C31" s="1100" t="s">
        <v>76</v>
      </c>
      <c r="D31" s="1315"/>
      <c r="E31" s="1315"/>
      <c r="F31" s="1315"/>
      <c r="G31" s="1316"/>
      <c r="H31" s="320">
        <f>SUM(H30)</f>
        <v>6</v>
      </c>
      <c r="I31" s="321">
        <f>SUM(I30)</f>
        <v>6</v>
      </c>
      <c r="J31" s="321">
        <f>SUM(J30)</f>
        <v>6</v>
      </c>
      <c r="K31" s="70"/>
      <c r="L31" s="142"/>
      <c r="M31" s="142"/>
      <c r="N31" s="143"/>
    </row>
    <row r="32" spans="1:15" ht="13.5" thickBot="1">
      <c r="A32" s="1158"/>
      <c r="B32" s="1100" t="s">
        <v>77</v>
      </c>
      <c r="C32" s="1367"/>
      <c r="D32" s="1367"/>
      <c r="E32" s="1367"/>
      <c r="F32" s="1367"/>
      <c r="G32" s="1367"/>
      <c r="H32" s="320">
        <f>H29+H31</f>
        <v>10</v>
      </c>
      <c r="I32" s="320">
        <f>I29+I31</f>
        <v>16</v>
      </c>
      <c r="J32" s="320">
        <f>J29+J31</f>
        <v>16</v>
      </c>
      <c r="K32" s="227"/>
      <c r="L32" s="102"/>
      <c r="M32" s="102"/>
      <c r="N32" s="127"/>
    </row>
    <row r="33" spans="1:15" s="6" customFormat="1" ht="13.5" thickBot="1">
      <c r="A33" s="1173" t="s">
        <v>7</v>
      </c>
      <c r="B33" s="1339"/>
      <c r="C33" s="1339"/>
      <c r="D33" s="1339"/>
      <c r="E33" s="1339"/>
      <c r="F33" s="1339"/>
      <c r="G33" s="1340"/>
      <c r="H33" s="375">
        <f>H18+H23+H27+H32</f>
        <v>611.6</v>
      </c>
      <c r="I33" s="375">
        <f>I18+I23+I27+I32</f>
        <v>617.6</v>
      </c>
      <c r="J33" s="375">
        <f>J18+J23+J27+J32</f>
        <v>617.6</v>
      </c>
      <c r="K33" s="215"/>
      <c r="L33" s="599"/>
      <c r="M33" s="599"/>
      <c r="N33" s="600"/>
    </row>
    <row r="34" spans="1:15" ht="13.5" thickBot="1">
      <c r="A34" s="1251" t="s">
        <v>8</v>
      </c>
      <c r="B34" s="1350"/>
      <c r="C34" s="1350"/>
      <c r="D34" s="1350"/>
      <c r="E34" s="1350"/>
      <c r="F34" s="1350"/>
      <c r="G34" s="1423"/>
      <c r="H34" s="81">
        <f>H14+H33</f>
        <v>687.1</v>
      </c>
      <c r="I34" s="70">
        <f>I14+I33</f>
        <v>717.6</v>
      </c>
      <c r="J34" s="70">
        <f>J14+J33</f>
        <v>777.6</v>
      </c>
      <c r="K34" s="39"/>
      <c r="L34" s="601"/>
      <c r="M34" s="601"/>
      <c r="N34" s="602"/>
    </row>
    <row r="35" spans="1:15" ht="10.5" customHeight="1">
      <c r="A35" s="30"/>
      <c r="B35" s="38"/>
      <c r="C35" s="38"/>
      <c r="D35" s="400"/>
      <c r="E35" s="13"/>
      <c r="F35" s="12" t="s">
        <v>4</v>
      </c>
      <c r="G35" s="13"/>
      <c r="H35" s="13"/>
      <c r="I35" s="21"/>
      <c r="J35" s="21"/>
      <c r="K35" s="21"/>
      <c r="L35" s="137"/>
      <c r="M35" s="137"/>
      <c r="N35" s="137"/>
    </row>
    <row r="36" spans="1:15" s="4" customFormat="1" ht="10.5" customHeight="1">
      <c r="A36" s="15"/>
      <c r="B36" s="10"/>
      <c r="C36" s="31"/>
      <c r="D36" s="16"/>
      <c r="E36" s="17"/>
      <c r="F36" s="17"/>
      <c r="G36" s="26" t="s">
        <v>81</v>
      </c>
      <c r="H36" s="236">
        <f>SUMIF($G$8:$G$33,"SB",H$8:H$33)</f>
        <v>542.5</v>
      </c>
      <c r="I36" s="236">
        <f>SUMIF($G$8:$G$33,"SB",I$8:I$33)</f>
        <v>573</v>
      </c>
      <c r="J36" s="236">
        <f>SUMIF($G$8:$G$33,"SB",J$8:J$33)</f>
        <v>633</v>
      </c>
      <c r="K36" s="148"/>
      <c r="L36" s="138"/>
      <c r="M36" s="138"/>
      <c r="N36" s="138"/>
    </row>
    <row r="37" spans="1:15" s="4" customFormat="1" ht="10.5" customHeight="1">
      <c r="A37" s="15"/>
      <c r="B37" s="55"/>
      <c r="C37" s="20"/>
      <c r="D37" s="16"/>
      <c r="E37" s="17"/>
      <c r="F37" s="17"/>
      <c r="G37" s="26" t="s">
        <v>82</v>
      </c>
      <c r="H37" s="236">
        <f>SUMIF($G$8:$G$33,"VB-STD",H$8:H$33)</f>
        <v>134.6</v>
      </c>
      <c r="I37" s="236">
        <f>SUMIF($G$8:$G$33,"VB-STD",I$8:I$33)</f>
        <v>134.6</v>
      </c>
      <c r="J37" s="236">
        <f>SUMIF($G$8:$G$33,"VB-STD",J$8:J$33)</f>
        <v>134.6</v>
      </c>
      <c r="K37" s="94"/>
      <c r="L37" s="128"/>
      <c r="M37" s="128"/>
      <c r="N37" s="128"/>
    </row>
    <row r="38" spans="1:15" s="4" customFormat="1" ht="10.5" customHeight="1">
      <c r="A38" s="15"/>
      <c r="B38" s="55"/>
      <c r="C38" s="20"/>
      <c r="D38" s="7"/>
      <c r="E38" s="8"/>
      <c r="F38" s="8"/>
      <c r="G38" s="26" t="s">
        <v>83</v>
      </c>
      <c r="H38" s="236">
        <f>SUMIF($G$8:$G$33,"ES",H$8:H$33)</f>
        <v>0</v>
      </c>
      <c r="I38" s="236">
        <f>SUMIF($G$8:$G$33,"ES",I$8:I$33)</f>
        <v>0</v>
      </c>
      <c r="J38" s="236">
        <f>SUMIF($G$8:$G$33,"ES",J$8:J$33)</f>
        <v>0</v>
      </c>
      <c r="K38" s="94"/>
      <c r="L38" s="128"/>
      <c r="M38" s="128"/>
      <c r="N38" s="128"/>
    </row>
    <row r="39" spans="1:15" ht="10.5" customHeight="1">
      <c r="A39" s="15"/>
      <c r="B39" s="55"/>
      <c r="C39" s="20"/>
      <c r="D39" s="7"/>
      <c r="E39" s="8"/>
      <c r="F39" s="8"/>
      <c r="G39" s="26" t="s">
        <v>84</v>
      </c>
      <c r="H39" s="148">
        <f>SUMIF($G$8:$G$33,SAARS,H$8:H$33)</f>
        <v>0</v>
      </c>
      <c r="I39" s="148">
        <f>SUMIF($G$8:$G$33,SAARS,I$8:I$33)</f>
        <v>0</v>
      </c>
      <c r="J39" s="148">
        <f>SUMIF($G$8:$G$33,SAARS,J$8:J$33)</f>
        <v>0</v>
      </c>
      <c r="K39" s="94"/>
      <c r="L39" s="128"/>
      <c r="M39" s="128"/>
      <c r="N39" s="128"/>
    </row>
    <row r="40" spans="1:15" ht="10.5" customHeight="1">
      <c r="A40" s="15"/>
      <c r="B40" s="55"/>
      <c r="C40" s="20"/>
      <c r="D40" s="7"/>
      <c r="E40" s="8"/>
      <c r="F40" s="8"/>
      <c r="G40" s="26" t="s">
        <v>85</v>
      </c>
      <c r="H40" s="148">
        <f>SUMIF($G$8:$G$33,KPPP,H$8:H$33)</f>
        <v>0</v>
      </c>
      <c r="I40" s="148">
        <f>SUMIF($G$8:$G$33,KPPP,I$8:I$33)</f>
        <v>0</v>
      </c>
      <c r="J40" s="148">
        <f>SUMIF($G$8:$G$33,KPPP,J$8:J$33)</f>
        <v>0</v>
      </c>
      <c r="K40" s="94"/>
      <c r="L40" s="128"/>
      <c r="M40" s="128"/>
      <c r="N40" s="128"/>
    </row>
    <row r="41" spans="1:15" ht="10.5" customHeight="1">
      <c r="A41" s="15"/>
      <c r="B41" s="55"/>
      <c r="C41" s="20"/>
      <c r="D41" s="7"/>
      <c r="E41" s="8"/>
      <c r="F41" s="8"/>
      <c r="G41" s="27" t="s">
        <v>86</v>
      </c>
      <c r="H41" s="236">
        <f>SUMIF($G$8:$G$33,"UF",H$8:H$33)</f>
        <v>0</v>
      </c>
      <c r="I41" s="236">
        <f>SUMIF($G$8:$G$33,"UF",I$8:I$33)</f>
        <v>0</v>
      </c>
      <c r="J41" s="236">
        <f>SUMIF($G$8:$G$33,"UF",J$8:J$33)</f>
        <v>0</v>
      </c>
      <c r="K41" s="94"/>
      <c r="L41" s="128"/>
      <c r="M41" s="128"/>
      <c r="N41" s="128"/>
    </row>
    <row r="42" spans="1:15" ht="10.5" customHeight="1">
      <c r="A42" s="15"/>
      <c r="B42" s="55"/>
      <c r="C42" s="20"/>
      <c r="D42" s="7"/>
      <c r="E42" s="8"/>
      <c r="F42" s="8"/>
      <c r="G42" s="26" t="s">
        <v>87</v>
      </c>
      <c r="H42" s="148">
        <f>SUMIF($G$8:$G$33,VB,H$8:H$33)</f>
        <v>0</v>
      </c>
      <c r="I42" s="148">
        <f>SUMIF($G$8:$G$33,VB,I$8:I$33)</f>
        <v>0</v>
      </c>
      <c r="J42" s="148">
        <f>SUMIF($G$8:$G$33,VB,J$8:J$33)</f>
        <v>0</v>
      </c>
      <c r="K42" s="94"/>
      <c r="L42" s="128"/>
      <c r="M42" s="128"/>
      <c r="N42" s="128"/>
    </row>
    <row r="43" spans="1:15" ht="10.5" customHeight="1">
      <c r="A43" s="15"/>
      <c r="B43" s="55"/>
      <c r="C43" s="20"/>
      <c r="D43" s="7"/>
      <c r="E43" s="8"/>
      <c r="F43" s="8"/>
      <c r="G43" s="26" t="s">
        <v>88</v>
      </c>
      <c r="H43" s="148">
        <f>SUMIF($G$8:$G$33,SL,H$8:H$33)</f>
        <v>0</v>
      </c>
      <c r="I43" s="148">
        <f>SUMIF($G$8:$G$33,SL,I$8:I$33)</f>
        <v>0</v>
      </c>
      <c r="J43" s="148">
        <f>SUMIF($G$8:$G$33,SL,J$8:J$33)</f>
        <v>0</v>
      </c>
      <c r="K43" s="94"/>
      <c r="L43" s="128"/>
      <c r="M43" s="128"/>
      <c r="N43" s="128"/>
    </row>
    <row r="44" spans="1:15" ht="10.5" customHeight="1">
      <c r="A44" s="24"/>
      <c r="B44" s="11"/>
      <c r="C44" s="23"/>
      <c r="D44" s="7"/>
      <c r="E44" s="8"/>
      <c r="F44" s="8"/>
      <c r="G44" s="26" t="s">
        <v>89</v>
      </c>
      <c r="H44" s="148">
        <f>SUMIF($G$8:$G$33,PL,H$8:H$33)</f>
        <v>0</v>
      </c>
      <c r="I44" s="148">
        <f>SUMIF($G$8:$G$33,PL,I$8:I$33)</f>
        <v>0</v>
      </c>
      <c r="J44" s="148">
        <f>SUMIF($G$8:$G$33,PL,J$8:J$33)</f>
        <v>0</v>
      </c>
      <c r="K44" s="94"/>
      <c r="L44" s="128"/>
      <c r="M44" s="128"/>
      <c r="N44" s="128"/>
    </row>
    <row r="45" spans="1:15" ht="10.5" customHeight="1">
      <c r="A45" s="24"/>
      <c r="B45" s="11"/>
      <c r="C45" s="23"/>
      <c r="D45" s="16"/>
      <c r="E45" s="17"/>
      <c r="F45" s="17"/>
      <c r="G45" s="26" t="s">
        <v>90</v>
      </c>
      <c r="H45" s="236">
        <f>SUMIF($G$8:$G$33,"KL",H$8:H$33)</f>
        <v>10</v>
      </c>
      <c r="I45" s="236">
        <f>SUMIF($G$8:$G$33,"KL",I$8:I$33)</f>
        <v>10</v>
      </c>
      <c r="J45" s="236">
        <f>SUMIF($G$8:$G$33,"KL",J$8:J$33)</f>
        <v>10</v>
      </c>
      <c r="K45" s="148"/>
      <c r="L45" s="138"/>
      <c r="M45" s="138"/>
      <c r="N45" s="138"/>
    </row>
    <row r="46" spans="1:15" ht="12.75" customHeight="1">
      <c r="A46" s="15"/>
      <c r="B46" s="402"/>
      <c r="C46" s="403"/>
      <c r="D46" s="16"/>
      <c r="E46" s="17"/>
      <c r="F46" s="17"/>
      <c r="G46" s="26" t="s">
        <v>91</v>
      </c>
      <c r="H46" s="148">
        <f>SUMIF($G$8:$G$33,TPP,H$8:H$33)</f>
        <v>0</v>
      </c>
      <c r="I46" s="148">
        <f>SUMIF($G$8:$G$33,TPP,I$8:I$33)</f>
        <v>0</v>
      </c>
      <c r="J46" s="148">
        <f>SUMIF($G$8:$G$33,TPP,J$8:J$33)</f>
        <v>0</v>
      </c>
      <c r="K46" s="94"/>
      <c r="L46" s="128"/>
      <c r="M46" s="128"/>
      <c r="N46" s="128"/>
    </row>
    <row r="47" spans="1:15" ht="10.5" customHeight="1">
      <c r="A47" s="48"/>
      <c r="B47" s="5"/>
      <c r="C47" s="5"/>
      <c r="D47" s="5"/>
      <c r="E47" s="5"/>
      <c r="F47" s="5"/>
      <c r="G47" s="28" t="s">
        <v>8</v>
      </c>
      <c r="H47" s="404">
        <f>SUM(H36:H46)</f>
        <v>687.1</v>
      </c>
      <c r="I47" s="404">
        <f>SUM(I36:I46)</f>
        <v>717.6</v>
      </c>
      <c r="J47" s="404">
        <f>SUM(J36:J46)</f>
        <v>777.6</v>
      </c>
      <c r="K47" s="49"/>
      <c r="L47" s="139"/>
      <c r="M47" s="405"/>
      <c r="N47" s="405"/>
    </row>
    <row r="48" spans="1:15" s="4" customFormat="1">
      <c r="A48" s="48"/>
      <c r="B48" s="5"/>
      <c r="C48" s="5"/>
      <c r="D48" s="5"/>
      <c r="E48" s="5"/>
      <c r="F48" s="5"/>
      <c r="G48" s="5"/>
      <c r="H48" s="5"/>
      <c r="I48" s="22"/>
      <c r="J48" s="603"/>
      <c r="K48" s="603"/>
      <c r="L48" s="604"/>
      <c r="M48" s="605"/>
      <c r="N48" s="48"/>
      <c r="O48" s="48"/>
    </row>
    <row r="49" spans="1:15" s="4" customFormat="1">
      <c r="A49" s="53"/>
      <c r="B49" s="5"/>
      <c r="C49" s="5"/>
      <c r="D49" s="5"/>
      <c r="E49" s="5"/>
      <c r="F49" s="5"/>
      <c r="G49" s="5"/>
      <c r="H49" s="5"/>
      <c r="L49" s="5"/>
      <c r="M49" s="400"/>
      <c r="N49" s="400"/>
      <c r="O49" s="400"/>
    </row>
    <row r="50" spans="1:15" s="4" customFormat="1">
      <c r="A50" s="53"/>
      <c r="B50" s="5"/>
      <c r="C50" s="5"/>
      <c r="D50" s="5"/>
      <c r="E50" s="5"/>
      <c r="F50" s="5"/>
      <c r="G50" s="5"/>
      <c r="H50" s="5"/>
      <c r="L50" s="5"/>
      <c r="M50" s="48"/>
      <c r="N50" s="48"/>
      <c r="O50" s="400"/>
    </row>
    <row r="51" spans="1:15" s="4" customFormat="1">
      <c r="A51" s="53"/>
      <c r="B51" s="5"/>
      <c r="C51" s="5"/>
      <c r="D51" s="5"/>
      <c r="E51" s="5"/>
      <c r="F51" s="5"/>
      <c r="G51" s="5"/>
      <c r="H51" s="5"/>
      <c r="L51" s="5"/>
      <c r="M51" s="5"/>
      <c r="N51" s="5"/>
    </row>
    <row r="52" spans="1:15" s="4" customFormat="1">
      <c r="A52" s="53"/>
      <c r="B52" s="5"/>
      <c r="C52" s="5"/>
      <c r="D52" s="5"/>
      <c r="E52" s="5"/>
      <c r="F52" s="5"/>
      <c r="G52" s="5"/>
      <c r="H52" s="5"/>
      <c r="L52" s="5"/>
      <c r="M52" s="5"/>
      <c r="N52" s="5"/>
    </row>
    <row r="53" spans="1:15" s="4" customFormat="1">
      <c r="A53" s="53"/>
      <c r="B53" s="5"/>
      <c r="C53" s="5"/>
      <c r="D53" s="5"/>
      <c r="E53" s="5"/>
      <c r="F53" s="5"/>
      <c r="G53" s="5"/>
      <c r="H53" s="5"/>
      <c r="L53" s="5"/>
      <c r="M53" s="5"/>
      <c r="N53" s="5"/>
    </row>
    <row r="54" spans="1:15" s="4" customFormat="1">
      <c r="A54" s="53"/>
      <c r="B54" s="5"/>
      <c r="C54" s="5"/>
      <c r="D54" s="5"/>
      <c r="E54" s="5"/>
      <c r="F54" s="5"/>
      <c r="G54" s="5"/>
      <c r="H54" s="5"/>
      <c r="L54" s="5"/>
      <c r="M54" s="5"/>
      <c r="N54" s="5"/>
    </row>
    <row r="55" spans="1:15" s="4" customFormat="1">
      <c r="A55" s="53"/>
      <c r="B55" s="5"/>
      <c r="C55" s="5"/>
      <c r="D55" s="5"/>
      <c r="E55" s="5"/>
      <c r="F55" s="5"/>
      <c r="G55" s="5"/>
      <c r="H55" s="5"/>
      <c r="L55" s="5"/>
      <c r="M55" s="5"/>
      <c r="N55" s="5"/>
    </row>
    <row r="56" spans="1:15" s="4" customFormat="1">
      <c r="A56" s="53"/>
      <c r="B56" s="5"/>
      <c r="C56" s="5"/>
      <c r="D56" s="5"/>
      <c r="E56" s="5"/>
      <c r="F56" s="5"/>
      <c r="G56" s="5"/>
      <c r="H56" s="5"/>
      <c r="L56" s="5"/>
      <c r="M56" s="5"/>
      <c r="N56" s="5"/>
    </row>
  </sheetData>
  <mergeCells count="59">
    <mergeCell ref="M15:M16"/>
    <mergeCell ref="N15:N16"/>
    <mergeCell ref="C15:E16"/>
    <mergeCell ref="B18:G18"/>
    <mergeCell ref="C17:G17"/>
    <mergeCell ref="F15:F16"/>
    <mergeCell ref="B15:B17"/>
    <mergeCell ref="C29:G29"/>
    <mergeCell ref="C26:G26"/>
    <mergeCell ref="C31:G31"/>
    <mergeCell ref="K15:K16"/>
    <mergeCell ref="L15:L16"/>
    <mergeCell ref="C19:E19"/>
    <mergeCell ref="C21:E21"/>
    <mergeCell ref="J24:J25"/>
    <mergeCell ref="H24:H25"/>
    <mergeCell ref="I24:I25"/>
    <mergeCell ref="F5:F7"/>
    <mergeCell ref="G5:G7"/>
    <mergeCell ref="A33:G33"/>
    <mergeCell ref="A34:G34"/>
    <mergeCell ref="B23:G23"/>
    <mergeCell ref="C20:G20"/>
    <mergeCell ref="C30:E30"/>
    <mergeCell ref="F24:F25"/>
    <mergeCell ref="G24:G25"/>
    <mergeCell ref="B24:B26"/>
    <mergeCell ref="B27:G27"/>
    <mergeCell ref="B28:B31"/>
    <mergeCell ref="C22:G22"/>
    <mergeCell ref="A15:A32"/>
    <mergeCell ref="B32:G32"/>
    <mergeCell ref="C28:E28"/>
    <mergeCell ref="A14:G14"/>
    <mergeCell ref="A8:A13"/>
    <mergeCell ref="C8:E11"/>
    <mergeCell ref="C24:E25"/>
    <mergeCell ref="C12:G12"/>
    <mergeCell ref="F8:F11"/>
    <mergeCell ref="G8:G11"/>
    <mergeCell ref="B8:B13"/>
    <mergeCell ref="C13:G13"/>
    <mergeCell ref="B19:B22"/>
    <mergeCell ref="A3:J3"/>
    <mergeCell ref="K3:L3"/>
    <mergeCell ref="H5:H7"/>
    <mergeCell ref="H8:H11"/>
    <mergeCell ref="I5:I7"/>
    <mergeCell ref="J5:J7"/>
    <mergeCell ref="K5:N5"/>
    <mergeCell ref="K6:K7"/>
    <mergeCell ref="L6:N6"/>
    <mergeCell ref="I8:I11"/>
    <mergeCell ref="J8:J11"/>
    <mergeCell ref="A5:A7"/>
    <mergeCell ref="B5:B7"/>
    <mergeCell ref="C5:C7"/>
    <mergeCell ref="D5:D7"/>
    <mergeCell ref="E5:E7"/>
  </mergeCells>
  <phoneticPr fontId="6" type="noConversion"/>
  <pageMargins left="0.41" right="0.4" top="0.57999999999999996" bottom="0.4" header="0" footer="0"/>
  <pageSetup paperSize="9" scale="96" fitToHeight="0" orientation="landscape" r:id="rId1"/>
  <headerFooter alignWithMargins="0">
    <oddHeader>&amp;C4.1.-&amp;P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topLeftCell="A32" zoomScaleNormal="100" zoomScaleSheetLayoutView="100" workbookViewId="0">
      <selection activeCell="C27" sqref="C27:E28"/>
    </sheetView>
  </sheetViews>
  <sheetFormatPr defaultColWidth="7.85546875" defaultRowHeight="12.75"/>
  <cols>
    <col min="1" max="1" width="6.5703125" style="568" customWidth="1"/>
    <col min="2" max="2" width="11.140625" style="2" customWidth="1"/>
    <col min="3" max="5" width="8.7109375" style="2" customWidth="1"/>
    <col min="6" max="6" width="10.42578125" style="2" customWidth="1"/>
    <col min="7" max="8" width="8.7109375" style="2" customWidth="1"/>
    <col min="9" max="10" width="8.7109375" style="226" customWidth="1"/>
    <col min="11" max="11" width="33.85546875" style="226" customWidth="1"/>
    <col min="12" max="14" width="8.5703125" style="226" customWidth="1"/>
    <col min="15" max="16384" width="7.85546875" style="226"/>
  </cols>
  <sheetData>
    <row r="1" spans="1:14" ht="15.75">
      <c r="A1" s="42" t="s">
        <v>406</v>
      </c>
      <c r="B1" s="43"/>
      <c r="C1" s="43"/>
      <c r="D1" s="43"/>
      <c r="E1" s="43"/>
      <c r="F1" s="43"/>
      <c r="G1" s="43"/>
      <c r="H1" s="43"/>
      <c r="I1" s="43"/>
      <c r="J1" s="43"/>
      <c r="K1" s="226" t="s">
        <v>405</v>
      </c>
    </row>
    <row r="2" spans="1:14" ht="15.75">
      <c r="A2" s="44" t="s">
        <v>101</v>
      </c>
      <c r="B2" s="45"/>
      <c r="C2" s="45"/>
      <c r="D2" s="45"/>
      <c r="E2" s="45"/>
      <c r="F2" s="45"/>
      <c r="G2" s="45"/>
      <c r="H2" s="45"/>
      <c r="I2" s="45"/>
      <c r="J2" s="45"/>
      <c r="K2" s="226" t="s">
        <v>65</v>
      </c>
    </row>
    <row r="3" spans="1:14" ht="34.5" customHeight="1">
      <c r="A3" s="1311" t="s">
        <v>75</v>
      </c>
      <c r="B3" s="1311"/>
      <c r="C3" s="1311"/>
      <c r="D3" s="1311"/>
      <c r="E3" s="1311"/>
      <c r="F3" s="1311"/>
      <c r="G3" s="1311"/>
      <c r="H3" s="1311"/>
      <c r="I3" s="1311"/>
      <c r="J3" s="1311"/>
      <c r="K3" s="445" t="s">
        <v>392</v>
      </c>
    </row>
    <row r="4" spans="1:14" ht="5.25" customHeight="1" thickBot="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4" ht="13.5" customHeight="1">
      <c r="A5" s="1182" t="s">
        <v>68</v>
      </c>
      <c r="B5" s="1185" t="s">
        <v>69</v>
      </c>
      <c r="C5" s="1185" t="s">
        <v>70</v>
      </c>
      <c r="D5" s="1185" t="s">
        <v>27</v>
      </c>
      <c r="E5" s="1185" t="s">
        <v>71</v>
      </c>
      <c r="F5" s="1185" t="s">
        <v>5</v>
      </c>
      <c r="G5" s="1236" t="s">
        <v>72</v>
      </c>
      <c r="H5" s="1185" t="s">
        <v>449</v>
      </c>
      <c r="I5" s="1233" t="s">
        <v>390</v>
      </c>
      <c r="J5" s="1230" t="s">
        <v>450</v>
      </c>
      <c r="K5" s="1222" t="s">
        <v>73</v>
      </c>
      <c r="L5" s="1223"/>
      <c r="M5" s="1223"/>
      <c r="N5" s="1224"/>
    </row>
    <row r="6" spans="1:14" ht="13.5" customHeight="1">
      <c r="A6" s="1183"/>
      <c r="B6" s="1186"/>
      <c r="C6" s="1186"/>
      <c r="D6" s="1186"/>
      <c r="E6" s="1186"/>
      <c r="F6" s="1186"/>
      <c r="G6" s="1237"/>
      <c r="H6" s="1186"/>
      <c r="I6" s="1234"/>
      <c r="J6" s="1231"/>
      <c r="K6" s="1225" t="s">
        <v>27</v>
      </c>
      <c r="L6" s="1227" t="s">
        <v>74</v>
      </c>
      <c r="M6" s="1228"/>
      <c r="N6" s="1229"/>
    </row>
    <row r="7" spans="1:14" ht="173.25" customHeight="1" thickBot="1">
      <c r="A7" s="1184"/>
      <c r="B7" s="1187"/>
      <c r="C7" s="1187"/>
      <c r="D7" s="1187"/>
      <c r="E7" s="1187"/>
      <c r="F7" s="1187"/>
      <c r="G7" s="1238"/>
      <c r="H7" s="1187"/>
      <c r="I7" s="1235"/>
      <c r="J7" s="1232"/>
      <c r="K7" s="1226"/>
      <c r="L7" s="46" t="s">
        <v>177</v>
      </c>
      <c r="M7" s="46" t="s">
        <v>278</v>
      </c>
      <c r="N7" s="47" t="s">
        <v>407</v>
      </c>
    </row>
    <row r="8" spans="1:14" ht="21.75" customHeight="1">
      <c r="A8" s="1341" t="s">
        <v>60</v>
      </c>
      <c r="B8" s="1159" t="s">
        <v>355</v>
      </c>
      <c r="C8" s="1076" t="s">
        <v>809</v>
      </c>
      <c r="D8" s="1093"/>
      <c r="E8" s="1093"/>
      <c r="F8" s="1345" t="s">
        <v>112</v>
      </c>
      <c r="G8" s="1072" t="s">
        <v>79</v>
      </c>
      <c r="H8" s="1074">
        <v>5</v>
      </c>
      <c r="I8" s="1074">
        <f>H8*1.006</f>
        <v>5.03</v>
      </c>
      <c r="J8" s="1074">
        <f>I8*1.006</f>
        <v>5.0601799999999999</v>
      </c>
      <c r="K8" s="317" t="s">
        <v>205</v>
      </c>
      <c r="L8" s="606">
        <v>1</v>
      </c>
      <c r="M8" s="606">
        <v>1</v>
      </c>
      <c r="N8" s="607">
        <v>1</v>
      </c>
    </row>
    <row r="9" spans="1:14" ht="21" customHeight="1" thickBot="1">
      <c r="A9" s="1341"/>
      <c r="B9" s="1158"/>
      <c r="C9" s="1096"/>
      <c r="D9" s="1097"/>
      <c r="E9" s="1097"/>
      <c r="F9" s="1069"/>
      <c r="G9" s="1073"/>
      <c r="H9" s="1075"/>
      <c r="I9" s="1075"/>
      <c r="J9" s="1075"/>
      <c r="K9" s="318" t="s">
        <v>206</v>
      </c>
      <c r="L9" s="608">
        <v>3</v>
      </c>
      <c r="M9" s="608">
        <v>3</v>
      </c>
      <c r="N9" s="609">
        <v>3</v>
      </c>
    </row>
    <row r="10" spans="1:14" ht="13.5" thickBot="1">
      <c r="A10" s="1341"/>
      <c r="B10" s="1161"/>
      <c r="C10" s="1386" t="s">
        <v>76</v>
      </c>
      <c r="D10" s="1129"/>
      <c r="E10" s="1129"/>
      <c r="F10" s="1129"/>
      <c r="G10" s="1130"/>
      <c r="H10" s="81">
        <f>SUM(H8)</f>
        <v>5</v>
      </c>
      <c r="I10" s="70">
        <f>SUM(I8)</f>
        <v>5.03</v>
      </c>
      <c r="J10" s="70">
        <f>SUM(J8)</f>
        <v>5.0601799999999999</v>
      </c>
      <c r="K10" s="66"/>
      <c r="L10" s="99"/>
      <c r="M10" s="99"/>
      <c r="N10" s="100"/>
    </row>
    <row r="11" spans="1:14" ht="13.5" thickBot="1">
      <c r="A11" s="1341"/>
      <c r="B11" s="1100" t="s">
        <v>77</v>
      </c>
      <c r="C11" s="1382"/>
      <c r="D11" s="1382"/>
      <c r="E11" s="1382"/>
      <c r="F11" s="1382"/>
      <c r="G11" s="1450"/>
      <c r="H11" s="81">
        <f>H10</f>
        <v>5</v>
      </c>
      <c r="I11" s="70">
        <f>I10</f>
        <v>5.03</v>
      </c>
      <c r="J11" s="70">
        <f>J10</f>
        <v>5.0601799999999999</v>
      </c>
      <c r="K11" s="227"/>
      <c r="L11" s="227"/>
      <c r="M11" s="227"/>
      <c r="N11" s="228"/>
    </row>
    <row r="12" spans="1:14" ht="22.5" customHeight="1">
      <c r="A12" s="1341"/>
      <c r="B12" s="1159" t="s">
        <v>356</v>
      </c>
      <c r="C12" s="1090" t="s">
        <v>48</v>
      </c>
      <c r="D12" s="1091"/>
      <c r="E12" s="1092"/>
      <c r="F12" s="1385" t="s">
        <v>112</v>
      </c>
      <c r="G12" s="1120" t="s">
        <v>79</v>
      </c>
      <c r="H12" s="1087">
        <v>2</v>
      </c>
      <c r="I12" s="1348">
        <f>H12*1.006</f>
        <v>2.012</v>
      </c>
      <c r="J12" s="1348">
        <f>I12*1.006</f>
        <v>2.0240719999999999</v>
      </c>
      <c r="K12" s="610" t="s">
        <v>207</v>
      </c>
      <c r="L12" s="238">
        <v>170</v>
      </c>
      <c r="M12" s="238">
        <v>170</v>
      </c>
      <c r="N12" s="239">
        <v>170</v>
      </c>
    </row>
    <row r="13" spans="1:14" ht="22.5" customHeight="1">
      <c r="A13" s="1341"/>
      <c r="B13" s="1158"/>
      <c r="C13" s="1380"/>
      <c r="D13" s="1475"/>
      <c r="E13" s="1165"/>
      <c r="F13" s="1349"/>
      <c r="G13" s="1411"/>
      <c r="H13" s="1119"/>
      <c r="I13" s="1349"/>
      <c r="J13" s="1349"/>
      <c r="K13" s="611" t="s">
        <v>208</v>
      </c>
      <c r="L13" s="247">
        <v>600</v>
      </c>
      <c r="M13" s="247">
        <v>600</v>
      </c>
      <c r="N13" s="319">
        <v>600</v>
      </c>
    </row>
    <row r="14" spans="1:14" ht="26.25" customHeight="1" thickBot="1">
      <c r="A14" s="1341"/>
      <c r="B14" s="1158"/>
      <c r="C14" s="1146"/>
      <c r="D14" s="1147"/>
      <c r="E14" s="1148"/>
      <c r="F14" s="1276"/>
      <c r="G14" s="1151"/>
      <c r="H14" s="1088"/>
      <c r="I14" s="1276"/>
      <c r="J14" s="1276"/>
      <c r="K14" s="611" t="s">
        <v>209</v>
      </c>
      <c r="L14" s="248">
        <v>800</v>
      </c>
      <c r="M14" s="248">
        <v>800</v>
      </c>
      <c r="N14" s="240">
        <v>800</v>
      </c>
    </row>
    <row r="15" spans="1:14" ht="13.5" thickBot="1">
      <c r="A15" s="1341"/>
      <c r="B15" s="1161"/>
      <c r="C15" s="1386" t="s">
        <v>76</v>
      </c>
      <c r="D15" s="1129"/>
      <c r="E15" s="1129"/>
      <c r="F15" s="1129"/>
      <c r="G15" s="1130"/>
      <c r="H15" s="81">
        <f>SUM(H12)</f>
        <v>2</v>
      </c>
      <c r="I15" s="70">
        <f>SUM(I12)</f>
        <v>2.012</v>
      </c>
      <c r="J15" s="70">
        <f>SUM(J12)</f>
        <v>2.0240719999999999</v>
      </c>
      <c r="K15" s="66"/>
      <c r="L15" s="227"/>
      <c r="M15" s="227"/>
      <c r="N15" s="228"/>
    </row>
    <row r="16" spans="1:14" ht="13.5" thickBot="1">
      <c r="A16" s="1341"/>
      <c r="B16" s="1126" t="s">
        <v>77</v>
      </c>
      <c r="C16" s="1129"/>
      <c r="D16" s="1129"/>
      <c r="E16" s="1129"/>
      <c r="F16" s="1129"/>
      <c r="G16" s="1130"/>
      <c r="H16" s="81">
        <f>H15</f>
        <v>2</v>
      </c>
      <c r="I16" s="81">
        <f>I15</f>
        <v>2.012</v>
      </c>
      <c r="J16" s="70">
        <f>J15</f>
        <v>2.0240719999999999</v>
      </c>
      <c r="K16" s="66"/>
      <c r="L16" s="227"/>
      <c r="M16" s="227"/>
      <c r="N16" s="228"/>
    </row>
    <row r="17" spans="1:14" ht="13.5" thickBot="1">
      <c r="A17" s="1258" t="s">
        <v>203</v>
      </c>
      <c r="B17" s="1350"/>
      <c r="C17" s="1350"/>
      <c r="D17" s="1350"/>
      <c r="E17" s="1350"/>
      <c r="F17" s="1350"/>
      <c r="G17" s="1423"/>
      <c r="H17" s="91">
        <f>H11+H16</f>
        <v>7</v>
      </c>
      <c r="I17" s="91">
        <f>I11+I16</f>
        <v>7.0419999999999998</v>
      </c>
      <c r="J17" s="91">
        <f>J11+J16</f>
        <v>7.0842519999999993</v>
      </c>
      <c r="K17" s="86"/>
      <c r="L17" s="86"/>
      <c r="M17" s="86"/>
      <c r="N17" s="101"/>
    </row>
    <row r="18" spans="1:14" ht="26.25" customHeight="1" thickBot="1">
      <c r="A18" s="1159" t="s">
        <v>102</v>
      </c>
      <c r="B18" s="1159" t="s">
        <v>445</v>
      </c>
      <c r="C18" s="1139" t="s">
        <v>446</v>
      </c>
      <c r="D18" s="1139"/>
      <c r="E18" s="1140"/>
      <c r="F18" s="430" t="s">
        <v>112</v>
      </c>
      <c r="G18" s="426" t="s">
        <v>79</v>
      </c>
      <c r="H18" s="454">
        <v>30</v>
      </c>
      <c r="I18" s="454">
        <f>H18*1.006</f>
        <v>30.18</v>
      </c>
      <c r="J18" s="454">
        <f>I18*1.006</f>
        <v>30.361080000000001</v>
      </c>
      <c r="K18" s="611" t="s">
        <v>210</v>
      </c>
      <c r="L18" s="263">
        <v>25</v>
      </c>
      <c r="M18" s="263">
        <v>25</v>
      </c>
      <c r="N18" s="612">
        <v>25</v>
      </c>
    </row>
    <row r="19" spans="1:14" ht="15" customHeight="1" thickBot="1">
      <c r="A19" s="1158"/>
      <c r="B19" s="1158"/>
      <c r="C19" s="1259" t="s">
        <v>76</v>
      </c>
      <c r="D19" s="1101"/>
      <c r="E19" s="1101"/>
      <c r="F19" s="1101"/>
      <c r="G19" s="1102"/>
      <c r="H19" s="320">
        <f>SUM(H18:H18)</f>
        <v>30</v>
      </c>
      <c r="I19" s="321">
        <f>SUM(I18:I18)</f>
        <v>30.18</v>
      </c>
      <c r="J19" s="321">
        <f>SUM(J18:J18)</f>
        <v>30.361080000000001</v>
      </c>
      <c r="K19" s="66"/>
      <c r="L19" s="227"/>
      <c r="M19" s="227"/>
      <c r="N19" s="228"/>
    </row>
    <row r="20" spans="1:14" ht="20.45" customHeight="1">
      <c r="A20" s="1158"/>
      <c r="B20" s="1158"/>
      <c r="C20" s="1090" t="s">
        <v>448</v>
      </c>
      <c r="D20" s="1139"/>
      <c r="E20" s="1140"/>
      <c r="F20" s="1385" t="s">
        <v>112</v>
      </c>
      <c r="G20" s="1120" t="s">
        <v>79</v>
      </c>
      <c r="H20" s="1491">
        <v>20</v>
      </c>
      <c r="I20" s="1087">
        <f>H20*1.006</f>
        <v>20.12</v>
      </c>
      <c r="J20" s="1087">
        <f>I20*1.006</f>
        <v>20.24072</v>
      </c>
      <c r="K20" s="420" t="s">
        <v>357</v>
      </c>
      <c r="L20" s="613">
        <v>1</v>
      </c>
      <c r="M20" s="444">
        <v>1</v>
      </c>
      <c r="N20" s="480">
        <v>1</v>
      </c>
    </row>
    <row r="21" spans="1:14" ht="20.45" customHeight="1">
      <c r="A21" s="1158"/>
      <c r="B21" s="1158"/>
      <c r="C21" s="1141"/>
      <c r="D21" s="1142"/>
      <c r="E21" s="1143"/>
      <c r="F21" s="1489"/>
      <c r="G21" s="1121"/>
      <c r="H21" s="1492"/>
      <c r="I21" s="1440"/>
      <c r="J21" s="1440"/>
      <c r="K21" s="423" t="s">
        <v>501</v>
      </c>
      <c r="L21" s="614">
        <v>1</v>
      </c>
      <c r="M21" s="408">
        <v>1</v>
      </c>
      <c r="N21" s="615">
        <v>1</v>
      </c>
    </row>
    <row r="22" spans="1:14" ht="13.5" thickBot="1">
      <c r="A22" s="1158"/>
      <c r="B22" s="1158"/>
      <c r="C22" s="1425"/>
      <c r="D22" s="1426"/>
      <c r="E22" s="1427"/>
      <c r="F22" s="1276"/>
      <c r="G22" s="1449"/>
      <c r="H22" s="1493"/>
      <c r="I22" s="1490"/>
      <c r="J22" s="1490"/>
      <c r="K22" s="421" t="s">
        <v>502</v>
      </c>
      <c r="L22" s="616">
        <v>3</v>
      </c>
      <c r="M22" s="262">
        <v>3</v>
      </c>
      <c r="N22" s="617">
        <v>3</v>
      </c>
    </row>
    <row r="23" spans="1:14" ht="15" customHeight="1" thickBot="1">
      <c r="A23" s="1158"/>
      <c r="B23" s="1158"/>
      <c r="C23" s="1126" t="s">
        <v>76</v>
      </c>
      <c r="D23" s="1127"/>
      <c r="E23" s="1127"/>
      <c r="F23" s="1127"/>
      <c r="G23" s="1128"/>
      <c r="H23" s="315">
        <f>SUM(H20:H22)</f>
        <v>20</v>
      </c>
      <c r="I23" s="316">
        <f>SUM(I20:I22)</f>
        <v>20.12</v>
      </c>
      <c r="J23" s="316">
        <f>SUM(J20:J22)</f>
        <v>20.24072</v>
      </c>
      <c r="K23" s="150"/>
      <c r="L23" s="229"/>
      <c r="M23" s="229"/>
      <c r="N23" s="230"/>
    </row>
    <row r="24" spans="1:14" ht="14.45" customHeight="1">
      <c r="A24" s="1158"/>
      <c r="B24" s="1158"/>
      <c r="C24" s="1090" t="s">
        <v>811</v>
      </c>
      <c r="D24" s="1091"/>
      <c r="E24" s="1091"/>
      <c r="F24" s="1385" t="s">
        <v>112</v>
      </c>
      <c r="G24" s="429" t="s">
        <v>79</v>
      </c>
      <c r="H24" s="448">
        <v>52</v>
      </c>
      <c r="I24" s="431">
        <v>52</v>
      </c>
      <c r="J24" s="431"/>
      <c r="K24" s="1324" t="s">
        <v>447</v>
      </c>
      <c r="L24" s="1496">
        <v>1</v>
      </c>
      <c r="M24" s="1496">
        <v>1</v>
      </c>
      <c r="N24" s="1498"/>
    </row>
    <row r="25" spans="1:14" ht="14.45" customHeight="1" thickBot="1">
      <c r="A25" s="1158"/>
      <c r="B25" s="1158"/>
      <c r="C25" s="1146"/>
      <c r="D25" s="1147"/>
      <c r="E25" s="1147"/>
      <c r="F25" s="1276"/>
      <c r="G25" s="462" t="s">
        <v>98</v>
      </c>
      <c r="H25" s="449">
        <v>148</v>
      </c>
      <c r="I25" s="397">
        <v>121</v>
      </c>
      <c r="J25" s="397"/>
      <c r="K25" s="1501"/>
      <c r="L25" s="1497"/>
      <c r="M25" s="1497"/>
      <c r="N25" s="1499"/>
    </row>
    <row r="26" spans="1:14" ht="13.5" thickBot="1">
      <c r="A26" s="1158"/>
      <c r="B26" s="1158"/>
      <c r="C26" s="1100" t="s">
        <v>76</v>
      </c>
      <c r="D26" s="1101"/>
      <c r="E26" s="1101"/>
      <c r="F26" s="1101"/>
      <c r="G26" s="1102"/>
      <c r="H26" s="320">
        <f>SUM(H24:H25)</f>
        <v>200</v>
      </c>
      <c r="I26" s="321">
        <f>SUM(I24:I25)</f>
        <v>173</v>
      </c>
      <c r="J26" s="321">
        <f>SUM(J24:J25)</f>
        <v>0</v>
      </c>
      <c r="K26" s="66"/>
      <c r="L26" s="227"/>
      <c r="M26" s="227"/>
      <c r="N26" s="228"/>
    </row>
    <row r="27" spans="1:14" ht="17.45" customHeight="1">
      <c r="A27" s="1158"/>
      <c r="B27" s="1158"/>
      <c r="C27" s="1090" t="s">
        <v>810</v>
      </c>
      <c r="D27" s="1091"/>
      <c r="E27" s="1091"/>
      <c r="F27" s="1385" t="s">
        <v>112</v>
      </c>
      <c r="G27" s="1072" t="s">
        <v>79</v>
      </c>
      <c r="H27" s="1087">
        <v>14</v>
      </c>
      <c r="I27" s="1087">
        <f>H27*1.006</f>
        <v>14.084</v>
      </c>
      <c r="J27" s="1087">
        <f>I27*1.006</f>
        <v>14.168504</v>
      </c>
      <c r="K27" s="317" t="s">
        <v>503</v>
      </c>
      <c r="L27" s="323">
        <v>7</v>
      </c>
      <c r="M27" s="323">
        <v>7</v>
      </c>
      <c r="N27" s="324">
        <v>7</v>
      </c>
    </row>
    <row r="28" spans="1:14" ht="17.45" customHeight="1" thickBot="1">
      <c r="A28" s="1158"/>
      <c r="B28" s="1158"/>
      <c r="C28" s="1380"/>
      <c r="D28" s="1164"/>
      <c r="E28" s="1164"/>
      <c r="F28" s="1494"/>
      <c r="G28" s="1500"/>
      <c r="H28" s="1440"/>
      <c r="I28" s="1440"/>
      <c r="J28" s="1440"/>
      <c r="K28" s="341" t="s">
        <v>504</v>
      </c>
      <c r="L28" s="618">
        <v>5</v>
      </c>
      <c r="M28" s="618">
        <v>5</v>
      </c>
      <c r="N28" s="619">
        <v>5</v>
      </c>
    </row>
    <row r="29" spans="1:14" ht="13.5" thickBot="1">
      <c r="A29" s="1158"/>
      <c r="B29" s="1158"/>
      <c r="C29" s="1100" t="s">
        <v>76</v>
      </c>
      <c r="D29" s="1101"/>
      <c r="E29" s="1101"/>
      <c r="F29" s="1101"/>
      <c r="G29" s="1102"/>
      <c r="H29" s="320">
        <f>SUM(H27:H28)</f>
        <v>14</v>
      </c>
      <c r="I29" s="321">
        <f>SUM(I27:I28)</f>
        <v>14.084</v>
      </c>
      <c r="J29" s="321">
        <f>SUM(J27:J28)</f>
        <v>14.168504</v>
      </c>
      <c r="K29" s="66"/>
      <c r="L29" s="227"/>
      <c r="M29" s="227"/>
      <c r="N29" s="228"/>
    </row>
    <row r="30" spans="1:14" ht="32.450000000000003" customHeight="1" thickBot="1">
      <c r="A30" s="1158"/>
      <c r="B30" s="1158"/>
      <c r="C30" s="1141" t="s">
        <v>505</v>
      </c>
      <c r="D30" s="1142"/>
      <c r="E30" s="1142"/>
      <c r="F30" s="422" t="s">
        <v>112</v>
      </c>
      <c r="G30" s="426" t="s">
        <v>92</v>
      </c>
      <c r="H30" s="454">
        <v>134</v>
      </c>
      <c r="I30" s="454">
        <f>H30*1.006</f>
        <v>134.804</v>
      </c>
      <c r="J30" s="454">
        <f>I30*1.006</f>
        <v>135.61282399999999</v>
      </c>
      <c r="K30" s="610" t="s">
        <v>526</v>
      </c>
      <c r="L30" s="263">
        <v>15</v>
      </c>
      <c r="M30" s="263">
        <v>16</v>
      </c>
      <c r="N30" s="612">
        <v>17</v>
      </c>
    </row>
    <row r="31" spans="1:14" ht="13.5" thickBot="1">
      <c r="A31" s="1158"/>
      <c r="B31" s="1158"/>
      <c r="C31" s="1100" t="s">
        <v>76</v>
      </c>
      <c r="D31" s="1101"/>
      <c r="E31" s="1101"/>
      <c r="F31" s="1101"/>
      <c r="G31" s="1102"/>
      <c r="H31" s="320">
        <f>SUM(H30)</f>
        <v>134</v>
      </c>
      <c r="I31" s="321">
        <f>SUM(I30)</f>
        <v>134.804</v>
      </c>
      <c r="J31" s="321">
        <f>SUM(J30)</f>
        <v>135.61282399999999</v>
      </c>
      <c r="K31" s="227"/>
      <c r="L31" s="227"/>
      <c r="M31" s="227"/>
      <c r="N31" s="228"/>
    </row>
    <row r="32" spans="1:14" ht="36.75" customHeight="1" thickBot="1">
      <c r="A32" s="1158"/>
      <c r="B32" s="1158"/>
      <c r="C32" s="1139" t="s">
        <v>455</v>
      </c>
      <c r="D32" s="1091"/>
      <c r="E32" s="1092"/>
      <c r="F32" s="423" t="s">
        <v>112</v>
      </c>
      <c r="G32" s="441" t="s">
        <v>79</v>
      </c>
      <c r="H32" s="463">
        <v>14</v>
      </c>
      <c r="I32" s="463">
        <f>H32*1.006</f>
        <v>14.084</v>
      </c>
      <c r="J32" s="463">
        <f>I32*1.006</f>
        <v>14.168504</v>
      </c>
      <c r="K32" s="306" t="s">
        <v>451</v>
      </c>
      <c r="L32" s="306">
        <v>5</v>
      </c>
      <c r="M32" s="306">
        <v>5</v>
      </c>
      <c r="N32" s="620">
        <v>5</v>
      </c>
    </row>
    <row r="33" spans="1:14" ht="13.5" thickBot="1">
      <c r="A33" s="1158"/>
      <c r="B33" s="1158"/>
      <c r="C33" s="1100" t="s">
        <v>76</v>
      </c>
      <c r="D33" s="1101"/>
      <c r="E33" s="1101"/>
      <c r="F33" s="1101"/>
      <c r="G33" s="1102"/>
      <c r="H33" s="315">
        <f>SUM(H32:H32)</f>
        <v>14</v>
      </c>
      <c r="I33" s="316">
        <f>SUM(I32:I32)</f>
        <v>14.084</v>
      </c>
      <c r="J33" s="316">
        <f>SUM(J32:J32)</f>
        <v>14.168504</v>
      </c>
      <c r="K33" s="80"/>
      <c r="L33" s="229"/>
      <c r="M33" s="229"/>
      <c r="N33" s="230"/>
    </row>
    <row r="34" spans="1:14" ht="42.75" customHeight="1" thickBot="1">
      <c r="A34" s="1158"/>
      <c r="B34" s="1158"/>
      <c r="C34" s="1141" t="s">
        <v>812</v>
      </c>
      <c r="D34" s="1142"/>
      <c r="E34" s="1142"/>
      <c r="F34" s="422" t="s">
        <v>112</v>
      </c>
      <c r="G34" s="426" t="s">
        <v>79</v>
      </c>
      <c r="H34" s="454">
        <v>60</v>
      </c>
      <c r="I34" s="454">
        <f>H34*1.006</f>
        <v>60.36</v>
      </c>
      <c r="J34" s="454">
        <f>I34*1.006</f>
        <v>60.722160000000002</v>
      </c>
      <c r="K34" s="610" t="s">
        <v>527</v>
      </c>
      <c r="L34" s="263">
        <v>20</v>
      </c>
      <c r="M34" s="263">
        <v>20</v>
      </c>
      <c r="N34" s="612">
        <v>20</v>
      </c>
    </row>
    <row r="35" spans="1:14" ht="13.5" thickBot="1">
      <c r="A35" s="1158"/>
      <c r="B35" s="1158"/>
      <c r="C35" s="1100" t="s">
        <v>76</v>
      </c>
      <c r="D35" s="1101"/>
      <c r="E35" s="1101"/>
      <c r="F35" s="1101"/>
      <c r="G35" s="1102"/>
      <c r="H35" s="315">
        <f>SUM(H34:H34)</f>
        <v>60</v>
      </c>
      <c r="I35" s="316">
        <f>SUM(I34:I34)</f>
        <v>60.36</v>
      </c>
      <c r="J35" s="316">
        <f>SUM(J34:J34)</f>
        <v>60.722160000000002</v>
      </c>
      <c r="K35" s="80"/>
      <c r="L35" s="229"/>
      <c r="M35" s="229"/>
      <c r="N35" s="230"/>
    </row>
    <row r="36" spans="1:14" ht="30" customHeight="1" thickBot="1">
      <c r="A36" s="1158"/>
      <c r="B36" s="1158"/>
      <c r="C36" s="1141" t="s">
        <v>456</v>
      </c>
      <c r="D36" s="1142"/>
      <c r="E36" s="1142"/>
      <c r="F36" s="422" t="s">
        <v>112</v>
      </c>
      <c r="G36" s="426" t="s">
        <v>79</v>
      </c>
      <c r="H36" s="454">
        <v>2</v>
      </c>
      <c r="I36" s="454">
        <f>H36*1.006</f>
        <v>2.012</v>
      </c>
      <c r="J36" s="454">
        <f>I36*1.006</f>
        <v>2.0240719999999999</v>
      </c>
      <c r="K36" s="611" t="s">
        <v>457</v>
      </c>
      <c r="L36" s="263">
        <v>3</v>
      </c>
      <c r="M36" s="263">
        <v>3</v>
      </c>
      <c r="N36" s="612">
        <v>3</v>
      </c>
    </row>
    <row r="37" spans="1:14" ht="13.5" thickBot="1">
      <c r="A37" s="1158"/>
      <c r="B37" s="1158"/>
      <c r="C37" s="1100" t="s">
        <v>76</v>
      </c>
      <c r="D37" s="1101"/>
      <c r="E37" s="1101"/>
      <c r="F37" s="1101"/>
      <c r="G37" s="1102"/>
      <c r="H37" s="315">
        <f>SUM(H36:H36)</f>
        <v>2</v>
      </c>
      <c r="I37" s="316">
        <f>SUM(I36:I36)</f>
        <v>2.012</v>
      </c>
      <c r="J37" s="316">
        <f>SUM(J36:J36)</f>
        <v>2.0240719999999999</v>
      </c>
      <c r="K37" s="80"/>
      <c r="L37" s="229"/>
      <c r="M37" s="229"/>
      <c r="N37" s="230"/>
    </row>
    <row r="38" spans="1:14" ht="13.5" thickBot="1">
      <c r="A38" s="1161"/>
      <c r="B38" s="1259" t="s">
        <v>77</v>
      </c>
      <c r="C38" s="1382"/>
      <c r="D38" s="1382"/>
      <c r="E38" s="1382"/>
      <c r="F38" s="1382"/>
      <c r="G38" s="1382"/>
      <c r="H38" s="81">
        <f>H37+H31+H26+H23+H19+H29+H33+H35</f>
        <v>474</v>
      </c>
      <c r="I38" s="81">
        <f>I37+I31+I26+I23+I19+I29+I33+I35</f>
        <v>448.64400000000006</v>
      </c>
      <c r="J38" s="81">
        <f>J37+J31+J26+J23+J19+J29+J33+J35</f>
        <v>277.297864</v>
      </c>
      <c r="K38" s="227"/>
      <c r="L38" s="227"/>
      <c r="M38" s="227"/>
      <c r="N38" s="228"/>
    </row>
    <row r="39" spans="1:14" ht="13.5" thickBot="1">
      <c r="A39" s="1258" t="s">
        <v>7</v>
      </c>
      <c r="B39" s="1350"/>
      <c r="C39" s="1351"/>
      <c r="D39" s="1351"/>
      <c r="E39" s="1351"/>
      <c r="F39" s="1351"/>
      <c r="G39" s="1495"/>
      <c r="H39" s="203">
        <f>H38</f>
        <v>474</v>
      </c>
      <c r="I39" s="200">
        <f>I38</f>
        <v>448.64400000000006</v>
      </c>
      <c r="J39" s="200">
        <f>J38</f>
        <v>277.297864</v>
      </c>
      <c r="K39" s="229"/>
      <c r="L39" s="229"/>
      <c r="M39" s="229"/>
      <c r="N39" s="230"/>
    </row>
    <row r="40" spans="1:14" s="4" customFormat="1" ht="13.5" thickBot="1">
      <c r="A40" s="1431" t="s">
        <v>8</v>
      </c>
      <c r="B40" s="1174"/>
      <c r="C40" s="1174"/>
      <c r="D40" s="1174"/>
      <c r="E40" s="1174"/>
      <c r="F40" s="1174"/>
      <c r="G40" s="1175"/>
      <c r="H40" s="406">
        <f>H17+H39</f>
        <v>481</v>
      </c>
      <c r="I40" s="406">
        <f>I17+I39</f>
        <v>455.68600000000004</v>
      </c>
      <c r="J40" s="406">
        <f>J17+J39</f>
        <v>284.382116</v>
      </c>
      <c r="K40" s="25"/>
      <c r="L40" s="25"/>
      <c r="M40" s="25"/>
      <c r="N40" s="29"/>
    </row>
    <row r="41" spans="1:14" s="4" customFormat="1" ht="10.5" customHeight="1">
      <c r="A41" s="30"/>
      <c r="B41" s="38"/>
      <c r="C41" s="38"/>
      <c r="D41" s="400"/>
      <c r="E41" s="13"/>
      <c r="F41" s="13" t="s">
        <v>4</v>
      </c>
      <c r="G41" s="13"/>
      <c r="H41" s="13"/>
      <c r="I41" s="21"/>
      <c r="J41" s="21"/>
      <c r="K41" s="21"/>
      <c r="L41" s="21"/>
      <c r="M41" s="21"/>
      <c r="N41" s="21"/>
    </row>
    <row r="42" spans="1:14" ht="10.5" customHeight="1">
      <c r="A42" s="15"/>
      <c r="B42" s="10"/>
      <c r="C42" s="31"/>
      <c r="D42" s="16"/>
      <c r="E42" s="17"/>
      <c r="F42" s="17"/>
      <c r="G42" s="26" t="s">
        <v>81</v>
      </c>
      <c r="H42" s="236">
        <f>SUMIF($G$8:$G$36,"SB",H$8:H$36)</f>
        <v>199</v>
      </c>
      <c r="I42" s="236">
        <f>SUMIF($G$8:$G$39,"SB",I$8:I$39)</f>
        <v>199.88200000000001</v>
      </c>
      <c r="J42" s="236">
        <f>SUMIF($G$8:$G$39,"SB",J$8:J$39)</f>
        <v>148.76929200000001</v>
      </c>
      <c r="K42" s="148"/>
      <c r="L42" s="148"/>
      <c r="M42" s="148"/>
      <c r="N42" s="148"/>
    </row>
    <row r="43" spans="1:14" ht="10.5" customHeight="1">
      <c r="A43" s="15"/>
      <c r="B43" s="55"/>
      <c r="C43" s="20"/>
      <c r="D43" s="16"/>
      <c r="E43" s="17"/>
      <c r="F43" s="17"/>
      <c r="G43" s="26" t="s">
        <v>82</v>
      </c>
      <c r="H43" s="236">
        <f>SUMIF($G$8:$G$39,"VB-STD",H$8:H$39)</f>
        <v>134</v>
      </c>
      <c r="I43" s="236">
        <f>SUMIF($G$8:$G$39,"VB-STD",I$8:I$39)</f>
        <v>134.804</v>
      </c>
      <c r="J43" s="236">
        <f>SUMIF($G$8:$G$39,"VB-STD",J$8:J$39)</f>
        <v>135.61282399999999</v>
      </c>
      <c r="K43" s="94"/>
      <c r="L43" s="94"/>
      <c r="M43" s="94"/>
      <c r="N43" s="94"/>
    </row>
    <row r="44" spans="1:14" ht="10.5" customHeight="1">
      <c r="A44" s="15"/>
      <c r="B44" s="55"/>
      <c r="C44" s="20"/>
      <c r="D44" s="7"/>
      <c r="E44" s="8"/>
      <c r="F44" s="8"/>
      <c r="G44" s="26" t="s">
        <v>83</v>
      </c>
      <c r="H44" s="236">
        <f>SUMIF($G$8:$G$39,"ES",H$8:H$39)</f>
        <v>148</v>
      </c>
      <c r="I44" s="236">
        <f>SUMIF($G$8:$G$39,"ES",I$8:I$39)</f>
        <v>121</v>
      </c>
      <c r="J44" s="236">
        <f>SUMIF($G$8:$G$39,"ES",J$8:J$39)</f>
        <v>0</v>
      </c>
      <c r="K44" s="94"/>
      <c r="L44" s="94"/>
      <c r="M44" s="94"/>
      <c r="N44" s="94"/>
    </row>
    <row r="45" spans="1:14" ht="10.5" customHeight="1">
      <c r="A45" s="15"/>
      <c r="B45" s="55"/>
      <c r="C45" s="20"/>
      <c r="D45" s="7"/>
      <c r="E45" s="8"/>
      <c r="F45" s="8"/>
      <c r="G45" s="26" t="s">
        <v>84</v>
      </c>
      <c r="H45" s="236">
        <f>SUMIF($G$8:$G$39,"SAARS",H$8:H$39)</f>
        <v>0</v>
      </c>
      <c r="I45" s="236">
        <f>SUMIF($G$8:$G$39,"SAARS",I$8:I$39)</f>
        <v>0</v>
      </c>
      <c r="J45" s="236">
        <f>SUMIF($G$8:$G$39,"SAARS",J$8:J$39)</f>
        <v>0</v>
      </c>
      <c r="K45" s="94"/>
      <c r="L45" s="94"/>
      <c r="M45" s="94"/>
      <c r="N45" s="94"/>
    </row>
    <row r="46" spans="1:14" ht="10.5" customHeight="1">
      <c r="A46" s="15"/>
      <c r="B46" s="55"/>
      <c r="C46" s="20"/>
      <c r="D46" s="7"/>
      <c r="E46" s="8"/>
      <c r="F46" s="8"/>
      <c r="G46" s="26" t="s">
        <v>85</v>
      </c>
      <c r="H46" s="236">
        <f>SUMIF($G$8:$G$39,"KPPP",H$8:H$39)</f>
        <v>0</v>
      </c>
      <c r="I46" s="236">
        <f>SUMIF($G$8:$G$39,"KPPP",I$8:I$39)</f>
        <v>0</v>
      </c>
      <c r="J46" s="236">
        <f>SUMIF($G$8:$G$39,"KPPP",J$8:J$39)</f>
        <v>0</v>
      </c>
      <c r="K46" s="94"/>
      <c r="L46" s="94"/>
      <c r="M46" s="94"/>
      <c r="N46" s="94"/>
    </row>
    <row r="47" spans="1:14" ht="10.5" customHeight="1">
      <c r="A47" s="15"/>
      <c r="B47" s="55"/>
      <c r="C47" s="20"/>
      <c r="D47" s="7"/>
      <c r="E47" s="8"/>
      <c r="F47" s="8"/>
      <c r="G47" s="27" t="s">
        <v>86</v>
      </c>
      <c r="H47" s="236">
        <f>SUMIF($G$8:$G$39,"UF",H$8:H$39)</f>
        <v>0</v>
      </c>
      <c r="I47" s="236">
        <f>SUMIF($G$8:$G$39,"UF",I$8:I$39)</f>
        <v>0</v>
      </c>
      <c r="J47" s="236">
        <f>SUMIF($G$8:$G$39,"UF",J$8:J$39)</f>
        <v>0</v>
      </c>
      <c r="K47" s="94"/>
      <c r="L47" s="94"/>
      <c r="M47" s="94"/>
      <c r="N47" s="94"/>
    </row>
    <row r="48" spans="1:14" ht="10.5" customHeight="1">
      <c r="A48" s="15"/>
      <c r="B48" s="55"/>
      <c r="C48" s="20"/>
      <c r="D48" s="7"/>
      <c r="E48" s="8"/>
      <c r="F48" s="8"/>
      <c r="G48" s="26" t="s">
        <v>87</v>
      </c>
      <c r="H48" s="236">
        <f>SUMIF($G$8:$G$39,"VB",H$8:H$39)</f>
        <v>0</v>
      </c>
      <c r="I48" s="236">
        <f>SUMIF($G$8:$G$39,"VB",I$8:I$39)</f>
        <v>0</v>
      </c>
      <c r="J48" s="236">
        <f>SUMIF($G$8:$G$39,"VB",J$8:J$39)</f>
        <v>0</v>
      </c>
      <c r="K48" s="94"/>
      <c r="L48" s="94"/>
      <c r="M48" s="94"/>
      <c r="N48" s="94"/>
    </row>
    <row r="49" spans="1:14" ht="10.5" customHeight="1">
      <c r="A49" s="15"/>
      <c r="B49" s="55"/>
      <c r="C49" s="20"/>
      <c r="D49" s="7"/>
      <c r="E49" s="8"/>
      <c r="F49" s="8"/>
      <c r="G49" s="26" t="s">
        <v>88</v>
      </c>
      <c r="H49" s="236">
        <f>SUMIF($G$8:$G$39,"SL",H$8:H$39)</f>
        <v>0</v>
      </c>
      <c r="I49" s="236">
        <f>SUMIF($G$8:$G$39,"SL",I$8:I$39)</f>
        <v>0</v>
      </c>
      <c r="J49" s="236">
        <f>SUMIF($G$8:$G$39,"SL",J$8:J$39)</f>
        <v>0</v>
      </c>
      <c r="K49" s="94"/>
      <c r="L49" s="94"/>
      <c r="M49" s="94"/>
      <c r="N49" s="94"/>
    </row>
    <row r="50" spans="1:14" ht="10.5" customHeight="1">
      <c r="A50" s="24"/>
      <c r="B50" s="11"/>
      <c r="C50" s="23"/>
      <c r="D50" s="7"/>
      <c r="E50" s="8"/>
      <c r="F50" s="8"/>
      <c r="G50" s="26" t="s">
        <v>89</v>
      </c>
      <c r="H50" s="236">
        <f>SUMIF($G$8:$G$39,"PL",H$8:H$39)</f>
        <v>0</v>
      </c>
      <c r="I50" s="236">
        <f>SUMIF($G$8:$G$39,"PL",I$8:I$39)</f>
        <v>0</v>
      </c>
      <c r="J50" s="236">
        <f>SUMIF($G$8:$G$39,"PL",J$8:J$39)</f>
        <v>0</v>
      </c>
      <c r="K50" s="94"/>
      <c r="L50" s="94"/>
      <c r="M50" s="94"/>
      <c r="N50" s="94"/>
    </row>
    <row r="51" spans="1:14" ht="10.5" customHeight="1">
      <c r="A51" s="24"/>
      <c r="B51" s="11"/>
      <c r="C51" s="23"/>
      <c r="D51" s="16"/>
      <c r="E51" s="17"/>
      <c r="F51" s="17"/>
      <c r="G51" s="26" t="s">
        <v>90</v>
      </c>
      <c r="H51" s="236">
        <f>SUMIF($G$8:$G$39,"KL",H$8:H$39)</f>
        <v>0</v>
      </c>
      <c r="I51" s="236">
        <f>SUMIF($G$8:$G$39,"KL",I$8:I$39)</f>
        <v>0</v>
      </c>
      <c r="J51" s="236">
        <f>SUMIF($G$8:$G$39,"KL",J$8:J$39)</f>
        <v>0</v>
      </c>
      <c r="K51" s="148"/>
      <c r="L51" s="148"/>
      <c r="M51" s="148"/>
      <c r="N51" s="148"/>
    </row>
    <row r="52" spans="1:14" ht="10.5" customHeight="1">
      <c r="A52" s="15"/>
      <c r="B52" s="402"/>
      <c r="C52" s="403"/>
      <c r="D52" s="16"/>
      <c r="E52" s="17"/>
      <c r="F52" s="17"/>
      <c r="G52" s="26" t="s">
        <v>91</v>
      </c>
      <c r="H52" s="236">
        <f>SUMIF($G$8:$G$39,"TPP",H$8:H$39)</f>
        <v>0</v>
      </c>
      <c r="I52" s="236">
        <f>SUMIF($G$8:$G$39,"TPP",I$8:I$39)</f>
        <v>0</v>
      </c>
      <c r="J52" s="236">
        <f>SUMIF($G$8:$G$39,"TPP",J$8:J$39)</f>
        <v>0</v>
      </c>
      <c r="K52" s="94"/>
      <c r="L52" s="94"/>
      <c r="M52" s="94"/>
      <c r="N52" s="94"/>
    </row>
    <row r="53" spans="1:14" s="4" customFormat="1" ht="10.5" customHeight="1">
      <c r="A53" s="48"/>
      <c r="B53" s="5"/>
      <c r="C53" s="5"/>
      <c r="D53" s="5"/>
      <c r="E53" s="5"/>
      <c r="F53" s="5"/>
      <c r="G53" s="28" t="s">
        <v>8</v>
      </c>
      <c r="H53" s="404">
        <f>SUM(H42:H52)</f>
        <v>481</v>
      </c>
      <c r="I53" s="404">
        <f>SUM(I42:I52)</f>
        <v>455.68600000000004</v>
      </c>
      <c r="J53" s="404">
        <f>SUM(J42:J52)</f>
        <v>284.382116</v>
      </c>
      <c r="K53" s="49"/>
      <c r="L53" s="49"/>
      <c r="M53" s="399"/>
      <c r="N53" s="399"/>
    </row>
    <row r="54" spans="1:14" s="4" customFormat="1">
      <c r="A54" s="400"/>
      <c r="B54" s="5"/>
      <c r="C54" s="5"/>
      <c r="D54" s="5"/>
      <c r="E54" s="5"/>
      <c r="F54" s="5"/>
      <c r="G54" s="5"/>
      <c r="H54" s="5"/>
      <c r="I54" s="603"/>
      <c r="J54" s="603"/>
      <c r="K54" s="603"/>
      <c r="L54" s="603"/>
      <c r="M54" s="621"/>
      <c r="N54" s="621"/>
    </row>
    <row r="55" spans="1:14" s="4" customFormat="1">
      <c r="A55" s="564"/>
      <c r="B55" s="5"/>
      <c r="C55" s="5"/>
      <c r="D55" s="5"/>
      <c r="E55" s="5"/>
      <c r="F55" s="5"/>
      <c r="G55" s="5"/>
      <c r="H55" s="52"/>
      <c r="I55" s="52"/>
      <c r="J55" s="52"/>
      <c r="M55" s="400"/>
      <c r="N55" s="400"/>
    </row>
    <row r="56" spans="1:14" s="4" customFormat="1">
      <c r="A56" s="564"/>
      <c r="B56" s="5"/>
      <c r="C56" s="5"/>
      <c r="D56" s="5"/>
      <c r="E56" s="5"/>
      <c r="F56" s="5"/>
      <c r="G56" s="5"/>
      <c r="H56" s="5"/>
      <c r="M56" s="400"/>
      <c r="N56" s="400"/>
    </row>
    <row r="57" spans="1:14" s="4" customFormat="1">
      <c r="A57" s="564"/>
      <c r="B57" s="5"/>
      <c r="C57" s="5"/>
      <c r="D57" s="5"/>
      <c r="E57" s="5"/>
      <c r="F57" s="5"/>
      <c r="G57" s="5"/>
      <c r="H57" s="5"/>
    </row>
    <row r="58" spans="1:14" s="4" customFormat="1">
      <c r="A58" s="564"/>
      <c r="B58" s="5"/>
      <c r="C58" s="5"/>
      <c r="D58" s="5"/>
      <c r="E58" s="5"/>
      <c r="F58" s="5"/>
      <c r="G58" s="5"/>
      <c r="H58" s="5"/>
    </row>
    <row r="59" spans="1:14" s="4" customFormat="1">
      <c r="A59" s="564"/>
      <c r="B59" s="5"/>
      <c r="C59" s="5"/>
      <c r="D59" s="5"/>
      <c r="E59" s="5"/>
      <c r="F59" s="5"/>
      <c r="G59" s="5"/>
      <c r="H59" s="5"/>
    </row>
    <row r="60" spans="1:14" s="4" customFormat="1">
      <c r="A60" s="564"/>
      <c r="B60" s="5"/>
      <c r="C60" s="5"/>
      <c r="D60" s="5"/>
      <c r="E60" s="5"/>
      <c r="F60" s="5"/>
      <c r="G60" s="5"/>
      <c r="H60" s="5"/>
    </row>
    <row r="61" spans="1:14" s="4" customFormat="1">
      <c r="A61" s="564"/>
      <c r="B61" s="5"/>
      <c r="C61" s="5"/>
      <c r="D61" s="5"/>
      <c r="E61" s="5"/>
      <c r="F61" s="5"/>
      <c r="G61" s="5"/>
      <c r="H61" s="5"/>
    </row>
    <row r="62" spans="1:14" s="4" customFormat="1">
      <c r="A62" s="564"/>
      <c r="B62" s="5"/>
      <c r="C62" s="5"/>
      <c r="D62" s="5"/>
      <c r="E62" s="5"/>
      <c r="F62" s="5"/>
      <c r="G62" s="5"/>
      <c r="H62" s="5"/>
    </row>
  </sheetData>
  <mergeCells count="70">
    <mergeCell ref="L24:L25"/>
    <mergeCell ref="M24:M25"/>
    <mergeCell ref="N24:N25"/>
    <mergeCell ref="G27:G28"/>
    <mergeCell ref="H27:H28"/>
    <mergeCell ref="I27:I28"/>
    <mergeCell ref="J27:J28"/>
    <mergeCell ref="K24:K25"/>
    <mergeCell ref="A40:G40"/>
    <mergeCell ref="C12:E14"/>
    <mergeCell ref="C15:G15"/>
    <mergeCell ref="B16:G16"/>
    <mergeCell ref="B12:B15"/>
    <mergeCell ref="A8:A16"/>
    <mergeCell ref="G8:G9"/>
    <mergeCell ref="C37:G37"/>
    <mergeCell ref="B18:B37"/>
    <mergeCell ref="A39:G39"/>
    <mergeCell ref="C19:G19"/>
    <mergeCell ref="C23:G23"/>
    <mergeCell ref="A18:A38"/>
    <mergeCell ref="B38:G38"/>
    <mergeCell ref="C34:E34"/>
    <mergeCell ref="C20:E22"/>
    <mergeCell ref="C36:E36"/>
    <mergeCell ref="F12:F14"/>
    <mergeCell ref="I5:I7"/>
    <mergeCell ref="B11:G11"/>
    <mergeCell ref="B8:B10"/>
    <mergeCell ref="C10:G10"/>
    <mergeCell ref="A17:G17"/>
    <mergeCell ref="G20:G22"/>
    <mergeCell ref="H20:H22"/>
    <mergeCell ref="I20:I22"/>
    <mergeCell ref="F27:F28"/>
    <mergeCell ref="C35:G35"/>
    <mergeCell ref="C32:E32"/>
    <mergeCell ref="C33:G33"/>
    <mergeCell ref="C29:G29"/>
    <mergeCell ref="K5:N5"/>
    <mergeCell ref="K6:K7"/>
    <mergeCell ref="L6:N6"/>
    <mergeCell ref="C8:E9"/>
    <mergeCell ref="F5:F7"/>
    <mergeCell ref="G5:G7"/>
    <mergeCell ref="H5:H7"/>
    <mergeCell ref="C5:C7"/>
    <mergeCell ref="D5:D7"/>
    <mergeCell ref="E5:E7"/>
    <mergeCell ref="J5:J7"/>
    <mergeCell ref="F8:F9"/>
    <mergeCell ref="H8:H9"/>
    <mergeCell ref="I8:I9"/>
    <mergeCell ref="J8:J9"/>
    <mergeCell ref="A3:J3"/>
    <mergeCell ref="C26:G26"/>
    <mergeCell ref="C30:E30"/>
    <mergeCell ref="C31:G31"/>
    <mergeCell ref="C24:E25"/>
    <mergeCell ref="G12:G14"/>
    <mergeCell ref="F20:F22"/>
    <mergeCell ref="F24:F25"/>
    <mergeCell ref="H12:H14"/>
    <mergeCell ref="I12:I14"/>
    <mergeCell ref="J12:J14"/>
    <mergeCell ref="A5:A7"/>
    <mergeCell ref="B5:B7"/>
    <mergeCell ref="J20:J22"/>
    <mergeCell ref="C27:E28"/>
    <mergeCell ref="C18:E18"/>
  </mergeCells>
  <phoneticPr fontId="6" type="noConversion"/>
  <pageMargins left="0.39370078740157483" right="0.39370078740157483" top="0.59055118110236227" bottom="0.19685039370078741" header="0" footer="0"/>
  <pageSetup paperSize="9" scale="93" orientation="landscape" r:id="rId1"/>
  <headerFooter alignWithMargins="0">
    <oddHeader>&amp;C5.1.-&amp;P</oddHeader>
  </headerFooter>
  <rowBreaks count="1" manualBreakCount="1">
    <brk id="24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79"/>
  <sheetViews>
    <sheetView topLeftCell="A64" zoomScaleNormal="100" zoomScaleSheetLayoutView="100" workbookViewId="0">
      <selection activeCell="Q57" sqref="Q57"/>
    </sheetView>
  </sheetViews>
  <sheetFormatPr defaultColWidth="7.85546875" defaultRowHeight="12.75"/>
  <cols>
    <col min="1" max="1" width="6.85546875" style="568" customWidth="1"/>
    <col min="2" max="3" width="8.7109375" style="2" customWidth="1"/>
    <col min="4" max="4" width="8.5703125" style="2" customWidth="1"/>
    <col min="5" max="5" width="8.7109375" style="2" customWidth="1"/>
    <col min="6" max="6" width="10.42578125" style="2" customWidth="1"/>
    <col min="7" max="8" width="8.7109375" style="2" customWidth="1"/>
    <col min="9" max="10" width="8.7109375" style="226" customWidth="1"/>
    <col min="11" max="11" width="27.85546875" style="226" customWidth="1"/>
    <col min="12" max="14" width="7.7109375" style="2" customWidth="1"/>
    <col min="15" max="15" width="9.5703125" style="226" customWidth="1"/>
    <col min="16" max="16384" width="7.85546875" style="226"/>
  </cols>
  <sheetData>
    <row r="1" spans="1:14" ht="15.75">
      <c r="A1" s="42" t="s">
        <v>406</v>
      </c>
      <c r="B1" s="43"/>
      <c r="C1" s="43"/>
      <c r="D1" s="43"/>
      <c r="E1" s="43"/>
      <c r="F1" s="43"/>
      <c r="G1" s="163"/>
      <c r="H1" s="43"/>
      <c r="I1" s="43"/>
      <c r="J1" s="43"/>
      <c r="K1" s="226" t="s">
        <v>405</v>
      </c>
    </row>
    <row r="2" spans="1:14" ht="15.75">
      <c r="A2" s="44" t="s">
        <v>103</v>
      </c>
      <c r="B2" s="45"/>
      <c r="C2" s="45"/>
      <c r="D2" s="45"/>
      <c r="E2" s="45"/>
      <c r="F2" s="45"/>
      <c r="G2" s="164"/>
      <c r="H2" s="45"/>
      <c r="I2" s="45"/>
      <c r="J2" s="45"/>
      <c r="K2" s="226" t="s">
        <v>65</v>
      </c>
    </row>
    <row r="3" spans="1:14" ht="30.75" customHeight="1">
      <c r="A3" s="1311" t="s">
        <v>75</v>
      </c>
      <c r="B3" s="1311"/>
      <c r="C3" s="1311"/>
      <c r="D3" s="1311"/>
      <c r="E3" s="1311"/>
      <c r="F3" s="1311"/>
      <c r="G3" s="1311"/>
      <c r="H3" s="1311"/>
      <c r="I3" s="1311"/>
      <c r="J3" s="1311"/>
      <c r="K3" s="1470" t="s">
        <v>393</v>
      </c>
      <c r="L3" s="1470"/>
    </row>
    <row r="4" spans="1:14" ht="16.5" thickBot="1">
      <c r="A4" s="3"/>
      <c r="B4" s="3"/>
      <c r="C4" s="3"/>
      <c r="D4" s="3"/>
      <c r="E4" s="3"/>
      <c r="F4" s="3"/>
      <c r="G4" s="165"/>
      <c r="H4" s="3"/>
      <c r="I4" s="3"/>
      <c r="J4" s="3"/>
    </row>
    <row r="5" spans="1:14" ht="13.5" customHeight="1">
      <c r="A5" s="1182" t="s">
        <v>68</v>
      </c>
      <c r="B5" s="1185" t="s">
        <v>69</v>
      </c>
      <c r="C5" s="1185" t="s">
        <v>70</v>
      </c>
      <c r="D5" s="1185" t="s">
        <v>27</v>
      </c>
      <c r="E5" s="1185" t="s">
        <v>71</v>
      </c>
      <c r="F5" s="1185" t="s">
        <v>5</v>
      </c>
      <c r="G5" s="1554" t="s">
        <v>72</v>
      </c>
      <c r="H5" s="1185" t="s">
        <v>449</v>
      </c>
      <c r="I5" s="1233" t="s">
        <v>390</v>
      </c>
      <c r="J5" s="1230" t="s">
        <v>450</v>
      </c>
      <c r="K5" s="1222" t="s">
        <v>73</v>
      </c>
      <c r="L5" s="1223"/>
      <c r="M5" s="1223"/>
      <c r="N5" s="1224"/>
    </row>
    <row r="6" spans="1:14" ht="13.5" customHeight="1">
      <c r="A6" s="1183"/>
      <c r="B6" s="1186"/>
      <c r="C6" s="1186"/>
      <c r="D6" s="1186"/>
      <c r="E6" s="1186"/>
      <c r="F6" s="1186"/>
      <c r="G6" s="1555"/>
      <c r="H6" s="1186"/>
      <c r="I6" s="1234"/>
      <c r="J6" s="1231"/>
      <c r="K6" s="1225" t="s">
        <v>27</v>
      </c>
      <c r="L6" s="1227" t="s">
        <v>74</v>
      </c>
      <c r="M6" s="1228"/>
      <c r="N6" s="1229"/>
    </row>
    <row r="7" spans="1:14" ht="145.5" customHeight="1" thickBot="1">
      <c r="A7" s="1184"/>
      <c r="B7" s="1187"/>
      <c r="C7" s="1187"/>
      <c r="D7" s="1187"/>
      <c r="E7" s="1187"/>
      <c r="F7" s="1187"/>
      <c r="G7" s="1556"/>
      <c r="H7" s="1187"/>
      <c r="I7" s="1235"/>
      <c r="J7" s="1232"/>
      <c r="K7" s="1226"/>
      <c r="L7" s="46" t="s">
        <v>177</v>
      </c>
      <c r="M7" s="46" t="s">
        <v>278</v>
      </c>
      <c r="N7" s="47" t="s">
        <v>407</v>
      </c>
    </row>
    <row r="8" spans="1:14" ht="46.5" customHeight="1" thickBot="1">
      <c r="A8" s="1159" t="s">
        <v>0</v>
      </c>
      <c r="B8" s="1159" t="s">
        <v>458</v>
      </c>
      <c r="C8" s="1557" t="s">
        <v>463</v>
      </c>
      <c r="D8" s="1557"/>
      <c r="E8" s="1558"/>
      <c r="F8" s="697" t="s">
        <v>112</v>
      </c>
      <c r="G8" s="697" t="s">
        <v>104</v>
      </c>
      <c r="H8" s="660">
        <v>2</v>
      </c>
      <c r="I8" s="660">
        <f>H8</f>
        <v>2</v>
      </c>
      <c r="J8" s="660">
        <f>I8</f>
        <v>2</v>
      </c>
      <c r="K8" s="698" t="s">
        <v>227</v>
      </c>
      <c r="L8" s="687">
        <v>4</v>
      </c>
      <c r="M8" s="687">
        <v>5</v>
      </c>
      <c r="N8" s="683">
        <v>6</v>
      </c>
    </row>
    <row r="9" spans="1:14" ht="13.5" thickBot="1">
      <c r="A9" s="1570"/>
      <c r="B9" s="1157"/>
      <c r="C9" s="1337" t="s">
        <v>76</v>
      </c>
      <c r="D9" s="1530"/>
      <c r="E9" s="1530"/>
      <c r="F9" s="1530"/>
      <c r="G9" s="1531"/>
      <c r="H9" s="315">
        <f>SUM(H8)</f>
        <v>2</v>
      </c>
      <c r="I9" s="316">
        <f>SUM(I8)</f>
        <v>2</v>
      </c>
      <c r="J9" s="346">
        <f>SUM(J8)</f>
        <v>2</v>
      </c>
      <c r="K9" s="231"/>
      <c r="L9" s="219"/>
      <c r="M9" s="219"/>
      <c r="N9" s="217"/>
    </row>
    <row r="10" spans="1:14" ht="46.15" customHeight="1" thickBot="1">
      <c r="A10" s="1570"/>
      <c r="B10" s="1157"/>
      <c r="C10" s="1527" t="s">
        <v>474</v>
      </c>
      <c r="D10" s="1528"/>
      <c r="E10" s="1529"/>
      <c r="F10" s="699" t="s">
        <v>112</v>
      </c>
      <c r="G10" s="699" t="s">
        <v>104</v>
      </c>
      <c r="H10" s="369">
        <v>10</v>
      </c>
      <c r="I10" s="369">
        <f>H10</f>
        <v>10</v>
      </c>
      <c r="J10" s="369">
        <f>I10</f>
        <v>10</v>
      </c>
      <c r="K10" s="700" t="s">
        <v>506</v>
      </c>
      <c r="L10" s="179">
        <v>15</v>
      </c>
      <c r="M10" s="179">
        <v>15</v>
      </c>
      <c r="N10" s="180">
        <v>15</v>
      </c>
    </row>
    <row r="11" spans="1:14" ht="13.5" thickBot="1">
      <c r="A11" s="1570"/>
      <c r="B11" s="1157"/>
      <c r="C11" s="1337" t="s">
        <v>76</v>
      </c>
      <c r="D11" s="1530"/>
      <c r="E11" s="1530"/>
      <c r="F11" s="1530"/>
      <c r="G11" s="1531"/>
      <c r="H11" s="315">
        <f>SUM(H10)</f>
        <v>10</v>
      </c>
      <c r="I11" s="316">
        <f>SUM(I10)</f>
        <v>10</v>
      </c>
      <c r="J11" s="346">
        <f>SUM(J10)</f>
        <v>10</v>
      </c>
      <c r="K11" s="231"/>
      <c r="L11" s="219"/>
      <c r="M11" s="219"/>
      <c r="N11" s="217"/>
    </row>
    <row r="12" spans="1:14" ht="37.15" customHeight="1">
      <c r="A12" s="1570"/>
      <c r="B12" s="1157"/>
      <c r="C12" s="1506" t="s">
        <v>464</v>
      </c>
      <c r="D12" s="1507"/>
      <c r="E12" s="1507"/>
      <c r="F12" s="1534" t="s">
        <v>112</v>
      </c>
      <c r="G12" s="1532" t="s">
        <v>104</v>
      </c>
      <c r="H12" s="1123">
        <v>147.80000000000001</v>
      </c>
      <c r="I12" s="1123">
        <f>H12*1.006</f>
        <v>148.68680000000001</v>
      </c>
      <c r="J12" s="1123">
        <f>I12*1.006</f>
        <v>149.57892080000002</v>
      </c>
      <c r="K12" s="698" t="s">
        <v>467</v>
      </c>
      <c r="L12" s="687">
        <v>1</v>
      </c>
      <c r="M12" s="687"/>
      <c r="N12" s="683"/>
    </row>
    <row r="13" spans="1:14" ht="21.75" customHeight="1">
      <c r="A13" s="1570"/>
      <c r="B13" s="1157"/>
      <c r="C13" s="1508"/>
      <c r="D13" s="1509"/>
      <c r="E13" s="1509"/>
      <c r="F13" s="1086"/>
      <c r="G13" s="1533"/>
      <c r="H13" s="1124"/>
      <c r="I13" s="1124"/>
      <c r="J13" s="1124"/>
      <c r="K13" s="701" t="s">
        <v>468</v>
      </c>
      <c r="L13" s="263">
        <v>1</v>
      </c>
      <c r="M13" s="263"/>
      <c r="N13" s="612"/>
    </row>
    <row r="14" spans="1:14" ht="34.15" customHeight="1" thickBot="1">
      <c r="A14" s="1570"/>
      <c r="B14" s="1157"/>
      <c r="C14" s="1510"/>
      <c r="D14" s="1511"/>
      <c r="E14" s="1511"/>
      <c r="F14" s="1069"/>
      <c r="G14" s="462" t="s">
        <v>92</v>
      </c>
      <c r="H14" s="702">
        <v>100</v>
      </c>
      <c r="I14" s="462"/>
      <c r="J14" s="702"/>
      <c r="K14" s="703" t="s">
        <v>507</v>
      </c>
      <c r="L14" s="262">
        <v>20</v>
      </c>
      <c r="M14" s="262"/>
      <c r="N14" s="617"/>
    </row>
    <row r="15" spans="1:14" ht="13.5" thickBot="1">
      <c r="A15" s="1570"/>
      <c r="B15" s="1157"/>
      <c r="C15" s="1547" t="s">
        <v>76</v>
      </c>
      <c r="D15" s="1548"/>
      <c r="E15" s="1548"/>
      <c r="F15" s="1548"/>
      <c r="G15" s="1548"/>
      <c r="H15" s="366">
        <f>H12+H14</f>
        <v>247.8</v>
      </c>
      <c r="I15" s="366">
        <f>I12+I14</f>
        <v>148.68680000000001</v>
      </c>
      <c r="J15" s="366">
        <f>J12+J14</f>
        <v>149.57892080000002</v>
      </c>
      <c r="K15" s="193"/>
      <c r="L15" s="221"/>
      <c r="M15" s="221"/>
      <c r="N15" s="222"/>
    </row>
    <row r="16" spans="1:14" ht="16.5" customHeight="1">
      <c r="A16" s="1570"/>
      <c r="B16" s="1157"/>
      <c r="C16" s="1506" t="s">
        <v>465</v>
      </c>
      <c r="D16" s="1507"/>
      <c r="E16" s="1507"/>
      <c r="F16" s="1534" t="s">
        <v>112</v>
      </c>
      <c r="G16" s="1534" t="s">
        <v>104</v>
      </c>
      <c r="H16" s="1393">
        <v>135</v>
      </c>
      <c r="I16" s="1393">
        <f>H16*1.006</f>
        <v>135.81</v>
      </c>
      <c r="J16" s="1393">
        <f>I16*1.006</f>
        <v>136.62486000000001</v>
      </c>
      <c r="K16" s="1152" t="s">
        <v>475</v>
      </c>
      <c r="L16" s="1515">
        <v>300</v>
      </c>
      <c r="M16" s="1515">
        <v>200</v>
      </c>
      <c r="N16" s="1517"/>
    </row>
    <row r="17" spans="1:14" ht="24.75" customHeight="1">
      <c r="A17" s="1570"/>
      <c r="B17" s="1157"/>
      <c r="C17" s="1553"/>
      <c r="D17" s="1512"/>
      <c r="E17" s="1512"/>
      <c r="F17" s="1512"/>
      <c r="G17" s="1512"/>
      <c r="H17" s="1512"/>
      <c r="I17" s="1512"/>
      <c r="J17" s="1512"/>
      <c r="K17" s="1308"/>
      <c r="L17" s="1516"/>
      <c r="M17" s="1516"/>
      <c r="N17" s="1518"/>
    </row>
    <row r="18" spans="1:14" ht="20.45" customHeight="1">
      <c r="A18" s="1570"/>
      <c r="B18" s="1157"/>
      <c r="C18" s="1553"/>
      <c r="D18" s="1512"/>
      <c r="E18" s="1512"/>
      <c r="F18" s="1086"/>
      <c r="G18" s="1086"/>
      <c r="H18" s="1086"/>
      <c r="I18" s="1086"/>
      <c r="J18" s="1086"/>
      <c r="K18" s="303" t="s">
        <v>462</v>
      </c>
      <c r="L18" s="1016">
        <v>1</v>
      </c>
      <c r="M18" s="964"/>
      <c r="N18" s="1024"/>
    </row>
    <row r="19" spans="1:14" ht="12.75" customHeight="1">
      <c r="A19" s="1570"/>
      <c r="B19" s="1157"/>
      <c r="C19" s="1085"/>
      <c r="D19" s="1086"/>
      <c r="E19" s="1086"/>
      <c r="F19" s="1086"/>
      <c r="G19" s="1086"/>
      <c r="H19" s="1086"/>
      <c r="I19" s="1086"/>
      <c r="J19" s="1086"/>
      <c r="K19" s="1519" t="s">
        <v>508</v>
      </c>
      <c r="L19" s="1521">
        <v>3</v>
      </c>
      <c r="M19" s="1521">
        <v>3</v>
      </c>
      <c r="N19" s="1522">
        <v>3</v>
      </c>
    </row>
    <row r="20" spans="1:14" ht="14.25" customHeight="1" thickBot="1">
      <c r="A20" s="1570"/>
      <c r="B20" s="1157"/>
      <c r="C20" s="1068"/>
      <c r="D20" s="1069"/>
      <c r="E20" s="1069"/>
      <c r="F20" s="1069"/>
      <c r="G20" s="1069"/>
      <c r="H20" s="1069"/>
      <c r="I20" s="1069"/>
      <c r="J20" s="1069"/>
      <c r="K20" s="1520"/>
      <c r="L20" s="1088"/>
      <c r="M20" s="1088"/>
      <c r="N20" s="1422"/>
    </row>
    <row r="21" spans="1:14" ht="13.5" thickBot="1">
      <c r="A21" s="1570"/>
      <c r="B21" s="1157"/>
      <c r="C21" s="1535" t="s">
        <v>76</v>
      </c>
      <c r="D21" s="1536"/>
      <c r="E21" s="1536"/>
      <c r="F21" s="1536"/>
      <c r="G21" s="1537"/>
      <c r="H21" s="320">
        <f>SUM(H16:H18)</f>
        <v>135</v>
      </c>
      <c r="I21" s="321">
        <f>SUM(I16:I18)</f>
        <v>135.81</v>
      </c>
      <c r="J21" s="321">
        <f>SUM(J16:J18)</f>
        <v>136.62486000000001</v>
      </c>
      <c r="K21" s="124"/>
      <c r="L21" s="173"/>
      <c r="M21" s="173"/>
      <c r="N21" s="174"/>
    </row>
    <row r="22" spans="1:14" ht="24" customHeight="1">
      <c r="A22" s="1570"/>
      <c r="B22" s="1157"/>
      <c r="C22" s="1544" t="s">
        <v>466</v>
      </c>
      <c r="D22" s="1602"/>
      <c r="E22" s="1602"/>
      <c r="F22" s="1549" t="s">
        <v>112</v>
      </c>
      <c r="G22" s="1549" t="s">
        <v>104</v>
      </c>
      <c r="H22" s="1523">
        <v>29</v>
      </c>
      <c r="I22" s="1523">
        <f>H22*1.006</f>
        <v>29.173999999999999</v>
      </c>
      <c r="J22" s="1523">
        <f>I22*1.006</f>
        <v>29.349043999999999</v>
      </c>
      <c r="K22" s="705" t="s">
        <v>509</v>
      </c>
      <c r="L22" s="687">
        <v>5</v>
      </c>
      <c r="M22" s="687">
        <v>5</v>
      </c>
      <c r="N22" s="683">
        <v>5</v>
      </c>
    </row>
    <row r="23" spans="1:14" ht="20.25" customHeight="1" thickBot="1">
      <c r="A23" s="1570"/>
      <c r="B23" s="1157"/>
      <c r="C23" s="1603"/>
      <c r="D23" s="1604"/>
      <c r="E23" s="1604"/>
      <c r="F23" s="1524"/>
      <c r="G23" s="1524"/>
      <c r="H23" s="1524"/>
      <c r="I23" s="1524"/>
      <c r="J23" s="1524"/>
      <c r="K23" s="706" t="s">
        <v>510</v>
      </c>
      <c r="L23" s="707">
        <v>20</v>
      </c>
      <c r="M23" s="707">
        <v>20</v>
      </c>
      <c r="N23" s="708">
        <v>20</v>
      </c>
    </row>
    <row r="24" spans="1:14" ht="11.25" customHeight="1" thickBot="1">
      <c r="A24" s="1570"/>
      <c r="B24" s="1157"/>
      <c r="C24" s="1542" t="s">
        <v>76</v>
      </c>
      <c r="D24" s="1536"/>
      <c r="E24" s="1536"/>
      <c r="F24" s="1536"/>
      <c r="G24" s="1537"/>
      <c r="H24" s="320">
        <f>SUM(H22:H22)</f>
        <v>29</v>
      </c>
      <c r="I24" s="321">
        <f>SUM(I22:I22)</f>
        <v>29.173999999999999</v>
      </c>
      <c r="J24" s="321">
        <f>SUM(J22:J22)</f>
        <v>29.349043999999999</v>
      </c>
      <c r="K24" s="123"/>
      <c r="L24" s="171"/>
      <c r="M24" s="171"/>
      <c r="N24" s="172"/>
    </row>
    <row r="25" spans="1:14" ht="17.25" customHeight="1">
      <c r="A25" s="1570"/>
      <c r="B25" s="1157"/>
      <c r="C25" s="1506" t="s">
        <v>813</v>
      </c>
      <c r="D25" s="1552"/>
      <c r="E25" s="1552"/>
      <c r="F25" s="1543" t="s">
        <v>112</v>
      </c>
      <c r="G25" s="1550" t="s">
        <v>92</v>
      </c>
      <c r="H25" s="1348">
        <v>123</v>
      </c>
      <c r="I25" s="1348"/>
      <c r="J25" s="1348"/>
      <c r="K25" s="1525" t="s">
        <v>511</v>
      </c>
      <c r="L25" s="1502">
        <v>479</v>
      </c>
      <c r="M25" s="1502"/>
      <c r="N25" s="1504"/>
    </row>
    <row r="26" spans="1:14" ht="17.25" customHeight="1">
      <c r="A26" s="1570"/>
      <c r="B26" s="1157"/>
      <c r="C26" s="1553"/>
      <c r="D26" s="1512"/>
      <c r="E26" s="1512"/>
      <c r="F26" s="1541"/>
      <c r="G26" s="1513"/>
      <c r="H26" s="1513"/>
      <c r="I26" s="1514"/>
      <c r="J26" s="1514"/>
      <c r="K26" s="1526" t="s">
        <v>226</v>
      </c>
      <c r="L26" s="1503">
        <v>75</v>
      </c>
      <c r="M26" s="1503"/>
      <c r="N26" s="1505"/>
    </row>
    <row r="27" spans="1:14" ht="17.25" customHeight="1" thickBot="1">
      <c r="A27" s="1570"/>
      <c r="B27" s="1157"/>
      <c r="C27" s="1553"/>
      <c r="D27" s="1512"/>
      <c r="E27" s="1512"/>
      <c r="F27" s="1349"/>
      <c r="G27" s="374" t="s">
        <v>98</v>
      </c>
      <c r="H27" s="671">
        <v>693.1</v>
      </c>
      <c r="I27" s="458"/>
      <c r="J27" s="458"/>
      <c r="K27" s="374" t="s">
        <v>346</v>
      </c>
      <c r="L27" s="709">
        <v>100</v>
      </c>
      <c r="M27" s="709"/>
      <c r="N27" s="710"/>
    </row>
    <row r="28" spans="1:14" ht="13.5" thickBot="1">
      <c r="A28" s="1570"/>
      <c r="B28" s="1157"/>
      <c r="C28" s="1542" t="s">
        <v>76</v>
      </c>
      <c r="D28" s="1536"/>
      <c r="E28" s="1536"/>
      <c r="F28" s="1536"/>
      <c r="G28" s="1536"/>
      <c r="H28" s="320">
        <f>SUM(H25:H27)</f>
        <v>816.1</v>
      </c>
      <c r="I28" s="321">
        <f>SUM(I25:I27)</f>
        <v>0</v>
      </c>
      <c r="J28" s="321">
        <f>SUM(J25:J27)</f>
        <v>0</v>
      </c>
      <c r="K28" s="123"/>
      <c r="L28" s="171"/>
      <c r="M28" s="171"/>
      <c r="N28" s="172"/>
    </row>
    <row r="29" spans="1:14" s="185" customFormat="1" ht="12" thickBot="1">
      <c r="A29" s="1588"/>
      <c r="B29" s="373"/>
      <c r="C29" s="1542" t="s">
        <v>77</v>
      </c>
      <c r="D29" s="1536"/>
      <c r="E29" s="1536"/>
      <c r="F29" s="1536"/>
      <c r="G29" s="1537"/>
      <c r="H29" s="348">
        <f>H9+H15+H21+H24+H28+H11</f>
        <v>1239.9000000000001</v>
      </c>
      <c r="I29" s="348">
        <f>I9+I15+I21+I24+I28+I11</f>
        <v>325.67079999999999</v>
      </c>
      <c r="J29" s="348">
        <f>J9+J15+J21+J24+J28+J11</f>
        <v>327.5528248</v>
      </c>
      <c r="K29" s="176"/>
      <c r="L29" s="220"/>
      <c r="M29" s="220"/>
      <c r="N29" s="218"/>
    </row>
    <row r="30" spans="1:14" ht="36" customHeight="1">
      <c r="A30" s="1570"/>
      <c r="B30" s="1157" t="s">
        <v>459</v>
      </c>
      <c r="C30" s="1544" t="s">
        <v>1</v>
      </c>
      <c r="D30" s="1545"/>
      <c r="E30" s="1545"/>
      <c r="F30" s="1538" t="s">
        <v>112</v>
      </c>
      <c r="G30" s="1540" t="s">
        <v>104</v>
      </c>
      <c r="H30" s="1523">
        <v>15.8</v>
      </c>
      <c r="I30" s="1523">
        <f>H30</f>
        <v>15.8</v>
      </c>
      <c r="J30" s="1523">
        <f>I30</f>
        <v>15.8</v>
      </c>
      <c r="K30" s="251" t="s">
        <v>228</v>
      </c>
      <c r="L30" s="306">
        <v>80</v>
      </c>
      <c r="M30" s="306">
        <v>80</v>
      </c>
      <c r="N30" s="620">
        <v>80</v>
      </c>
    </row>
    <row r="31" spans="1:14" ht="36" customHeight="1" thickBot="1">
      <c r="A31" s="1570"/>
      <c r="B31" s="1570"/>
      <c r="C31" s="1546"/>
      <c r="D31" s="1509"/>
      <c r="E31" s="1509"/>
      <c r="F31" s="1539"/>
      <c r="G31" s="1541"/>
      <c r="H31" s="1512"/>
      <c r="I31" s="1512"/>
      <c r="J31" s="1512"/>
      <c r="K31" s="244" t="s">
        <v>512</v>
      </c>
      <c r="L31" s="685">
        <v>7</v>
      </c>
      <c r="M31" s="685">
        <v>7</v>
      </c>
      <c r="N31" s="686">
        <v>7</v>
      </c>
    </row>
    <row r="32" spans="1:14" ht="13.5" thickBot="1">
      <c r="A32" s="1570"/>
      <c r="B32" s="1571"/>
      <c r="C32" s="1535" t="s">
        <v>76</v>
      </c>
      <c r="D32" s="1536"/>
      <c r="E32" s="1536"/>
      <c r="F32" s="1536"/>
      <c r="G32" s="1537"/>
      <c r="H32" s="320">
        <f>SUM(H30)</f>
        <v>15.8</v>
      </c>
      <c r="I32" s="321">
        <f>SUM(I30)</f>
        <v>15.8</v>
      </c>
      <c r="J32" s="344">
        <f>SUM(J30)</f>
        <v>15.8</v>
      </c>
      <c r="K32" s="104"/>
      <c r="L32" s="171"/>
      <c r="M32" s="171"/>
      <c r="N32" s="172"/>
    </row>
    <row r="33" spans="1:15" ht="13.5" thickBot="1">
      <c r="A33" s="1570"/>
      <c r="B33" s="1535" t="s">
        <v>77</v>
      </c>
      <c r="C33" s="1536"/>
      <c r="D33" s="1536"/>
      <c r="E33" s="1536"/>
      <c r="F33" s="1536"/>
      <c r="G33" s="1537"/>
      <c r="H33" s="320">
        <f>H32</f>
        <v>15.8</v>
      </c>
      <c r="I33" s="321">
        <f>I32</f>
        <v>15.8</v>
      </c>
      <c r="J33" s="321">
        <f>J32</f>
        <v>15.8</v>
      </c>
      <c r="K33" s="171"/>
      <c r="L33" s="171"/>
      <c r="M33" s="171"/>
      <c r="N33" s="172"/>
    </row>
    <row r="34" spans="1:15" ht="49.9" customHeight="1">
      <c r="A34" s="1570"/>
      <c r="B34" s="1595" t="s">
        <v>460</v>
      </c>
      <c r="C34" s="1506" t="s">
        <v>476</v>
      </c>
      <c r="D34" s="1552"/>
      <c r="E34" s="1552"/>
      <c r="F34" s="1534" t="s">
        <v>112</v>
      </c>
      <c r="G34" s="1560" t="s">
        <v>104</v>
      </c>
      <c r="H34" s="1087">
        <v>2</v>
      </c>
      <c r="I34" s="1087">
        <f>H34*1.006</f>
        <v>2.012</v>
      </c>
      <c r="J34" s="1087">
        <f>I34*1.006</f>
        <v>2.0240719999999999</v>
      </c>
      <c r="K34" s="687" t="s">
        <v>229</v>
      </c>
      <c r="L34" s="477">
        <v>2</v>
      </c>
      <c r="M34" s="477">
        <v>2</v>
      </c>
      <c r="N34" s="478">
        <v>2</v>
      </c>
    </row>
    <row r="35" spans="1:15" ht="49.9" customHeight="1" thickBot="1">
      <c r="A35" s="1570"/>
      <c r="B35" s="1595"/>
      <c r="C35" s="1562"/>
      <c r="D35" s="1563"/>
      <c r="E35" s="1563"/>
      <c r="F35" s="1559"/>
      <c r="G35" s="1561"/>
      <c r="H35" s="1490"/>
      <c r="I35" s="1490"/>
      <c r="J35" s="1490"/>
      <c r="K35" s="262" t="s">
        <v>230</v>
      </c>
      <c r="L35" s="711">
        <v>2</v>
      </c>
      <c r="M35" s="711">
        <v>2</v>
      </c>
      <c r="N35" s="712">
        <v>2</v>
      </c>
    </row>
    <row r="36" spans="1:15" ht="13.5" thickBot="1">
      <c r="A36" s="1570"/>
      <c r="B36" s="1595"/>
      <c r="C36" s="1336" t="s">
        <v>76</v>
      </c>
      <c r="D36" s="1596"/>
      <c r="E36" s="1596"/>
      <c r="F36" s="1596"/>
      <c r="G36" s="1597"/>
      <c r="H36" s="713">
        <f>SUM(H34)</f>
        <v>2</v>
      </c>
      <c r="I36" s="714">
        <f>SUM(I34)</f>
        <v>2.012</v>
      </c>
      <c r="J36" s="715">
        <f>SUM(J34)</f>
        <v>2.0240719999999999</v>
      </c>
      <c r="K36" s="232"/>
      <c r="L36" s="268"/>
      <c r="M36" s="268"/>
      <c r="N36" s="233"/>
    </row>
    <row r="37" spans="1:15" ht="13.5" thickBot="1">
      <c r="A37" s="1570"/>
      <c r="B37" s="1535" t="s">
        <v>77</v>
      </c>
      <c r="C37" s="1565"/>
      <c r="D37" s="1565"/>
      <c r="E37" s="1565"/>
      <c r="F37" s="1565"/>
      <c r="G37" s="1565"/>
      <c r="H37" s="320">
        <f>H36</f>
        <v>2</v>
      </c>
      <c r="I37" s="321">
        <f>I36</f>
        <v>2.012</v>
      </c>
      <c r="J37" s="321">
        <f>J36</f>
        <v>2.0240719999999999</v>
      </c>
      <c r="K37" s="171"/>
      <c r="L37" s="171"/>
      <c r="M37" s="171"/>
      <c r="N37" s="172"/>
    </row>
    <row r="38" spans="1:15" ht="42" customHeight="1" thickBot="1">
      <c r="A38" s="1570"/>
      <c r="B38" s="1159" t="s">
        <v>58</v>
      </c>
      <c r="C38" s="1557" t="s">
        <v>814</v>
      </c>
      <c r="D38" s="1598"/>
      <c r="E38" s="1599"/>
      <c r="F38" s="697" t="s">
        <v>112</v>
      </c>
      <c r="G38" s="716" t="s">
        <v>79</v>
      </c>
      <c r="H38" s="682">
        <v>3.8</v>
      </c>
      <c r="I38" s="682">
        <f>H38</f>
        <v>3.8</v>
      </c>
      <c r="J38" s="682">
        <f>I38*1.006</f>
        <v>3.8228</v>
      </c>
      <c r="K38" s="306" t="s">
        <v>231</v>
      </c>
      <c r="L38" s="263">
        <v>9</v>
      </c>
      <c r="M38" s="263">
        <v>9</v>
      </c>
      <c r="N38" s="612">
        <v>9</v>
      </c>
    </row>
    <row r="39" spans="1:15" s="185" customFormat="1" ht="13.9" customHeight="1" thickBot="1">
      <c r="A39" s="1570"/>
      <c r="B39" s="1157"/>
      <c r="C39" s="1337" t="s">
        <v>76</v>
      </c>
      <c r="D39" s="1600"/>
      <c r="E39" s="1600"/>
      <c r="F39" s="1600"/>
      <c r="G39" s="1601"/>
      <c r="H39" s="315">
        <f>SUM(H38)</f>
        <v>3.8</v>
      </c>
      <c r="I39" s="316">
        <f>SUM(I38)</f>
        <v>3.8</v>
      </c>
      <c r="J39" s="346">
        <f>SUM(J38)</f>
        <v>3.8228</v>
      </c>
      <c r="K39" s="64"/>
      <c r="L39" s="179"/>
      <c r="M39" s="179"/>
      <c r="N39" s="180"/>
    </row>
    <row r="40" spans="1:15" s="185" customFormat="1" ht="25.15" customHeight="1" thickBot="1">
      <c r="A40" s="1570"/>
      <c r="B40" s="1157"/>
      <c r="C40" s="1527" t="s">
        <v>477</v>
      </c>
      <c r="D40" s="1590"/>
      <c r="E40" s="1591"/>
      <c r="F40" s="699" t="s">
        <v>112</v>
      </c>
      <c r="G40" s="717" t="s">
        <v>104</v>
      </c>
      <c r="H40" s="369">
        <v>35</v>
      </c>
      <c r="I40" s="369">
        <f>H40*1.006</f>
        <v>35.21</v>
      </c>
      <c r="J40" s="718">
        <f>I40*1.006</f>
        <v>35.421260000000004</v>
      </c>
      <c r="K40" s="719" t="s">
        <v>513</v>
      </c>
      <c r="L40" s="179">
        <v>4</v>
      </c>
      <c r="M40" s="179">
        <v>4</v>
      </c>
      <c r="N40" s="180">
        <v>4</v>
      </c>
    </row>
    <row r="41" spans="1:15" s="185" customFormat="1" ht="13.9" customHeight="1" thickBot="1">
      <c r="A41" s="1570"/>
      <c r="B41" s="1157"/>
      <c r="C41" s="1337" t="s">
        <v>76</v>
      </c>
      <c r="D41" s="1530"/>
      <c r="E41" s="1530"/>
      <c r="F41" s="1530"/>
      <c r="G41" s="1531"/>
      <c r="H41" s="315">
        <f>SUM(H40)</f>
        <v>35</v>
      </c>
      <c r="I41" s="316">
        <f>SUM(I40)</f>
        <v>35.21</v>
      </c>
      <c r="J41" s="346">
        <f>SUM(J40)</f>
        <v>35.421260000000004</v>
      </c>
      <c r="K41" s="175"/>
      <c r="L41" s="219"/>
      <c r="M41" s="219"/>
      <c r="N41" s="217"/>
    </row>
    <row r="42" spans="1:15" s="185" customFormat="1" ht="36" customHeight="1" thickBot="1">
      <c r="A42" s="1570"/>
      <c r="B42" s="1157"/>
      <c r="C42" s="1528" t="s">
        <v>478</v>
      </c>
      <c r="D42" s="1590"/>
      <c r="E42" s="1591"/>
      <c r="F42" s="699" t="s">
        <v>112</v>
      </c>
      <c r="G42" s="717" t="s">
        <v>104</v>
      </c>
      <c r="H42" s="369">
        <v>20</v>
      </c>
      <c r="I42" s="369"/>
      <c r="J42" s="369"/>
      <c r="K42" s="720" t="s">
        <v>461</v>
      </c>
      <c r="L42" s="179">
        <v>1</v>
      </c>
      <c r="M42" s="179"/>
      <c r="N42" s="180"/>
      <c r="O42" s="226"/>
    </row>
    <row r="43" spans="1:15" s="185" customFormat="1" ht="13.9" customHeight="1" thickBot="1">
      <c r="A43" s="1570"/>
      <c r="B43" s="1179"/>
      <c r="C43" s="1337" t="s">
        <v>76</v>
      </c>
      <c r="D43" s="1530"/>
      <c r="E43" s="1530"/>
      <c r="F43" s="1530"/>
      <c r="G43" s="1531"/>
      <c r="H43" s="315">
        <f>SUM(H42)</f>
        <v>20</v>
      </c>
      <c r="I43" s="316">
        <f>SUM(I42)</f>
        <v>0</v>
      </c>
      <c r="J43" s="346">
        <f>SUM(J42)</f>
        <v>0</v>
      </c>
      <c r="K43" s="175"/>
      <c r="L43" s="219"/>
      <c r="M43" s="219"/>
      <c r="N43" s="217"/>
      <c r="O43" s="226"/>
    </row>
    <row r="44" spans="1:15" ht="13.9" customHeight="1" thickBot="1">
      <c r="A44" s="1571"/>
      <c r="B44" s="1594" t="s">
        <v>77</v>
      </c>
      <c r="C44" s="1536"/>
      <c r="D44" s="1536"/>
      <c r="E44" s="1536"/>
      <c r="F44" s="1536"/>
      <c r="G44" s="1537"/>
      <c r="H44" s="320">
        <f>H39+H41+H43</f>
        <v>58.8</v>
      </c>
      <c r="I44" s="320">
        <f>I39+I41+I43</f>
        <v>39.01</v>
      </c>
      <c r="J44" s="320">
        <f>J39+J41+J43</f>
        <v>39.244060000000005</v>
      </c>
      <c r="K44" s="171"/>
      <c r="L44" s="171"/>
      <c r="M44" s="171"/>
      <c r="N44" s="172"/>
    </row>
    <row r="45" spans="1:15" ht="13.5" thickBot="1">
      <c r="A45" s="1431" t="s">
        <v>203</v>
      </c>
      <c r="B45" s="1565"/>
      <c r="C45" s="1565"/>
      <c r="D45" s="1565"/>
      <c r="E45" s="1565"/>
      <c r="F45" s="1565"/>
      <c r="G45" s="1566"/>
      <c r="H45" s="348">
        <f>H29+H33+H37+H44</f>
        <v>1316.5</v>
      </c>
      <c r="I45" s="348">
        <f>I29+I33+I37+I44</f>
        <v>382.49279999999999</v>
      </c>
      <c r="J45" s="348">
        <f>J29+J33+J37+J44</f>
        <v>384.62095679999999</v>
      </c>
      <c r="K45" s="95"/>
      <c r="L45" s="162"/>
      <c r="M45" s="162"/>
      <c r="N45" s="130"/>
    </row>
    <row r="46" spans="1:15" ht="36" customHeight="1" thickBot="1">
      <c r="A46" s="1159" t="s">
        <v>469</v>
      </c>
      <c r="B46" s="1159" t="s">
        <v>106</v>
      </c>
      <c r="C46" s="1139" t="s">
        <v>815</v>
      </c>
      <c r="D46" s="1592"/>
      <c r="E46" s="1593"/>
      <c r="F46" s="697" t="s">
        <v>112</v>
      </c>
      <c r="G46" s="653" t="s">
        <v>79</v>
      </c>
      <c r="H46" s="691">
        <v>11.3</v>
      </c>
      <c r="I46" s="682">
        <f>H46*1.006</f>
        <v>11.367800000000001</v>
      </c>
      <c r="J46" s="682">
        <f>I46*1.006</f>
        <v>11.436006800000001</v>
      </c>
      <c r="K46" s="721" t="s">
        <v>232</v>
      </c>
      <c r="L46" s="424">
        <v>6</v>
      </c>
      <c r="M46" s="424">
        <v>6</v>
      </c>
      <c r="N46" s="425">
        <v>6</v>
      </c>
      <c r="O46" s="185"/>
    </row>
    <row r="47" spans="1:15" ht="13.5" thickBot="1">
      <c r="A47" s="1570"/>
      <c r="B47" s="1157"/>
      <c r="C47" s="1337" t="s">
        <v>76</v>
      </c>
      <c r="D47" s="1572"/>
      <c r="E47" s="1572"/>
      <c r="F47" s="1572"/>
      <c r="G47" s="1573"/>
      <c r="H47" s="315">
        <f>SUM(H46)</f>
        <v>11.3</v>
      </c>
      <c r="I47" s="316">
        <f>SUM(I46)</f>
        <v>11.367800000000001</v>
      </c>
      <c r="J47" s="316">
        <f>SUM(J46)</f>
        <v>11.436006800000001</v>
      </c>
      <c r="K47" s="161"/>
      <c r="L47" s="133"/>
      <c r="M47" s="133"/>
      <c r="N47" s="134"/>
      <c r="O47" s="185"/>
    </row>
    <row r="48" spans="1:15" ht="22.5">
      <c r="A48" s="1570"/>
      <c r="B48" s="1157"/>
      <c r="C48" s="1368" t="s">
        <v>470</v>
      </c>
      <c r="D48" s="1576"/>
      <c r="E48" s="1576"/>
      <c r="F48" s="1534" t="s">
        <v>112</v>
      </c>
      <c r="G48" s="1072" t="s">
        <v>79</v>
      </c>
      <c r="H48" s="1393">
        <v>30.5</v>
      </c>
      <c r="I48" s="1393">
        <f>H48*1.006</f>
        <v>30.683</v>
      </c>
      <c r="J48" s="1393">
        <f>I48*1.006</f>
        <v>30.867097999999999</v>
      </c>
      <c r="K48" s="722" t="s">
        <v>514</v>
      </c>
      <c r="L48" s="238">
        <v>26</v>
      </c>
      <c r="M48" s="238">
        <v>28</v>
      </c>
      <c r="N48" s="239">
        <v>30</v>
      </c>
      <c r="O48" s="185"/>
    </row>
    <row r="49" spans="1:15" ht="23.45" customHeight="1" thickBot="1">
      <c r="A49" s="1570"/>
      <c r="B49" s="1157"/>
      <c r="C49" s="1577"/>
      <c r="D49" s="1097"/>
      <c r="E49" s="1097"/>
      <c r="F49" s="1069"/>
      <c r="G49" s="1073"/>
      <c r="H49" s="1069"/>
      <c r="I49" s="1069"/>
      <c r="J49" s="1069"/>
      <c r="K49" s="551" t="s">
        <v>364</v>
      </c>
      <c r="L49" s="248">
        <v>2</v>
      </c>
      <c r="M49" s="248">
        <v>2</v>
      </c>
      <c r="N49" s="240">
        <v>2</v>
      </c>
      <c r="O49" s="185"/>
    </row>
    <row r="50" spans="1:15" ht="13.5" thickBot="1">
      <c r="A50" s="1570"/>
      <c r="B50" s="1157"/>
      <c r="C50" s="1547" t="s">
        <v>76</v>
      </c>
      <c r="D50" s="1574"/>
      <c r="E50" s="1574"/>
      <c r="F50" s="1574"/>
      <c r="G50" s="1575"/>
      <c r="H50" s="366">
        <f>SUM(H48)</f>
        <v>30.5</v>
      </c>
      <c r="I50" s="367">
        <f>SUM(I48)</f>
        <v>30.683</v>
      </c>
      <c r="J50" s="350">
        <f>SUM(J48)</f>
        <v>30.867097999999999</v>
      </c>
      <c r="K50" s="216"/>
      <c r="L50" s="76"/>
      <c r="M50" s="76"/>
      <c r="N50" s="129"/>
      <c r="O50" s="185"/>
    </row>
    <row r="51" spans="1:15" ht="36" customHeight="1" thickBot="1">
      <c r="A51" s="1570"/>
      <c r="B51" s="1179"/>
      <c r="C51" s="1330" t="s">
        <v>472</v>
      </c>
      <c r="D51" s="1104"/>
      <c r="E51" s="1105"/>
      <c r="F51" s="699" t="s">
        <v>112</v>
      </c>
      <c r="G51" s="258" t="s">
        <v>79</v>
      </c>
      <c r="H51" s="296">
        <v>6</v>
      </c>
      <c r="I51" s="369"/>
      <c r="J51" s="369"/>
      <c r="K51" s="723" t="s">
        <v>473</v>
      </c>
      <c r="L51" s="365">
        <v>1</v>
      </c>
      <c r="M51" s="365"/>
      <c r="N51" s="259"/>
      <c r="O51" s="185"/>
    </row>
    <row r="52" spans="1:15" ht="13.5" thickBot="1">
      <c r="A52" s="1570"/>
      <c r="B52" s="696"/>
      <c r="C52" s="1337" t="s">
        <v>76</v>
      </c>
      <c r="D52" s="1572"/>
      <c r="E52" s="1572"/>
      <c r="F52" s="1572"/>
      <c r="G52" s="1573"/>
      <c r="H52" s="315">
        <f>SUM(H51)</f>
        <v>6</v>
      </c>
      <c r="I52" s="316">
        <f>SUM(I51)</f>
        <v>0</v>
      </c>
      <c r="J52" s="316">
        <f>SUM(J51)</f>
        <v>0</v>
      </c>
      <c r="K52" s="161"/>
      <c r="L52" s="133"/>
      <c r="M52" s="133"/>
      <c r="N52" s="134"/>
      <c r="O52" s="185"/>
    </row>
    <row r="53" spans="1:15" ht="13.5" thickBot="1">
      <c r="A53" s="1570"/>
      <c r="B53" s="1535" t="s">
        <v>77</v>
      </c>
      <c r="C53" s="1337"/>
      <c r="D53" s="1337"/>
      <c r="E53" s="1337"/>
      <c r="F53" s="1337"/>
      <c r="G53" s="1338"/>
      <c r="H53" s="315">
        <f>H47+H50+H52</f>
        <v>47.8</v>
      </c>
      <c r="I53" s="315">
        <f>I47+I50+I52</f>
        <v>42.050800000000002</v>
      </c>
      <c r="J53" s="315">
        <f>J47+J50+J52</f>
        <v>42.3031048</v>
      </c>
      <c r="K53" s="229"/>
      <c r="L53" s="133"/>
      <c r="M53" s="133"/>
      <c r="N53" s="134"/>
      <c r="O53" s="185"/>
    </row>
    <row r="54" spans="1:15" ht="27.75" customHeight="1" thickBot="1">
      <c r="A54" s="1570"/>
      <c r="B54" s="1257" t="s">
        <v>2</v>
      </c>
      <c r="C54" s="1083" t="s">
        <v>3</v>
      </c>
      <c r="D54" s="1551"/>
      <c r="E54" s="1551"/>
      <c r="F54" s="724" t="s">
        <v>120</v>
      </c>
      <c r="G54" s="258" t="s">
        <v>92</v>
      </c>
      <c r="H54" s="296">
        <v>529.70000000000005</v>
      </c>
      <c r="I54" s="369">
        <f>H54*1.06</f>
        <v>561.48200000000008</v>
      </c>
      <c r="J54" s="725">
        <f>I54*1.06</f>
        <v>595.17092000000014</v>
      </c>
      <c r="K54" s="726" t="s">
        <v>233</v>
      </c>
      <c r="L54" s="365">
        <v>130</v>
      </c>
      <c r="M54" s="365">
        <v>120</v>
      </c>
      <c r="N54" s="259">
        <v>110</v>
      </c>
      <c r="O54" s="185"/>
    </row>
    <row r="55" spans="1:15" ht="13.5" thickBot="1">
      <c r="A55" s="1570"/>
      <c r="B55" s="1588"/>
      <c r="C55" s="1432" t="s">
        <v>76</v>
      </c>
      <c r="D55" s="1574"/>
      <c r="E55" s="1574"/>
      <c r="F55" s="1574"/>
      <c r="G55" s="1574"/>
      <c r="H55" s="356">
        <f>SUM(H54:H54)</f>
        <v>529.70000000000005</v>
      </c>
      <c r="I55" s="357">
        <f>SUM(I54:I54)</f>
        <v>561.48200000000008</v>
      </c>
      <c r="J55" s="634">
        <f>SUM(J54:J54)</f>
        <v>595.17092000000014</v>
      </c>
      <c r="K55" s="635"/>
      <c r="L55" s="76"/>
      <c r="M55" s="76"/>
      <c r="N55" s="129"/>
      <c r="O55" s="185"/>
    </row>
    <row r="56" spans="1:15" ht="19.149999999999999" customHeight="1">
      <c r="A56" s="1570"/>
      <c r="B56" s="1588"/>
      <c r="C56" s="1090" t="s">
        <v>105</v>
      </c>
      <c r="D56" s="1139"/>
      <c r="E56" s="1140"/>
      <c r="F56" s="1534" t="s">
        <v>120</v>
      </c>
      <c r="G56" s="1120" t="s">
        <v>79</v>
      </c>
      <c r="H56" s="1108">
        <f>5.5+87.3</f>
        <v>92.8</v>
      </c>
      <c r="I56" s="1523">
        <v>5.5</v>
      </c>
      <c r="J56" s="1523">
        <v>5.5</v>
      </c>
      <c r="K56" s="654" t="s">
        <v>471</v>
      </c>
      <c r="L56" s="238">
        <v>1</v>
      </c>
      <c r="M56" s="238">
        <v>1</v>
      </c>
      <c r="N56" s="239">
        <v>1</v>
      </c>
      <c r="O56" s="185"/>
    </row>
    <row r="57" spans="1:15" ht="27.75" customHeight="1" thickBot="1">
      <c r="A57" s="1570"/>
      <c r="B57" s="1588"/>
      <c r="C57" s="1585"/>
      <c r="D57" s="1586"/>
      <c r="E57" s="1587"/>
      <c r="F57" s="1563"/>
      <c r="G57" s="1449"/>
      <c r="H57" s="1567"/>
      <c r="I57" s="1563"/>
      <c r="J57" s="1563"/>
      <c r="K57" s="663" t="s">
        <v>234</v>
      </c>
      <c r="L57" s="248">
        <v>1</v>
      </c>
      <c r="M57" s="248"/>
      <c r="N57" s="240"/>
      <c r="O57" s="185"/>
    </row>
    <row r="58" spans="1:15" ht="13.5" thickBot="1">
      <c r="A58" s="1570"/>
      <c r="B58" s="1588"/>
      <c r="C58" s="1578" t="s">
        <v>76</v>
      </c>
      <c r="D58" s="1579"/>
      <c r="E58" s="1579"/>
      <c r="F58" s="1579"/>
      <c r="G58" s="1580"/>
      <c r="H58" s="356">
        <f>SUM(H56)</f>
        <v>92.8</v>
      </c>
      <c r="I58" s="357">
        <f>SUM(I56)</f>
        <v>5.5</v>
      </c>
      <c r="J58" s="360">
        <f>SUM(J56)</f>
        <v>5.5</v>
      </c>
      <c r="K58" s="126"/>
      <c r="L58" s="162"/>
      <c r="M58" s="162"/>
      <c r="N58" s="130"/>
      <c r="O58" s="185"/>
    </row>
    <row r="59" spans="1:15" ht="27.75" customHeight="1" thickBot="1">
      <c r="A59" s="1570"/>
      <c r="B59" s="1588"/>
      <c r="C59" s="1083" t="s">
        <v>816</v>
      </c>
      <c r="D59" s="1551"/>
      <c r="E59" s="1551"/>
      <c r="F59" s="724" t="s">
        <v>112</v>
      </c>
      <c r="G59" s="258" t="s">
        <v>79</v>
      </c>
      <c r="H59" s="296">
        <v>5</v>
      </c>
      <c r="I59" s="369">
        <f>H59*1.06</f>
        <v>5.3000000000000007</v>
      </c>
      <c r="J59" s="725">
        <f>I59*1.06</f>
        <v>5.6180000000000012</v>
      </c>
      <c r="K59" s="726" t="s">
        <v>232</v>
      </c>
      <c r="L59" s="365">
        <v>5</v>
      </c>
      <c r="M59" s="365">
        <v>5</v>
      </c>
      <c r="N59" s="259">
        <v>5</v>
      </c>
      <c r="O59" s="185"/>
    </row>
    <row r="60" spans="1:15" ht="13.5" thickBot="1">
      <c r="A60" s="1570"/>
      <c r="B60" s="1588"/>
      <c r="C60" s="1578" t="s">
        <v>76</v>
      </c>
      <c r="D60" s="1579"/>
      <c r="E60" s="1579"/>
      <c r="F60" s="1579"/>
      <c r="G60" s="1580"/>
      <c r="H60" s="356">
        <f>H59</f>
        <v>5</v>
      </c>
      <c r="I60" s="356">
        <f t="shared" ref="I60:J60" si="0">I59</f>
        <v>5.3000000000000007</v>
      </c>
      <c r="J60" s="356">
        <f t="shared" si="0"/>
        <v>5.6180000000000012</v>
      </c>
      <c r="K60" s="126"/>
      <c r="L60" s="162"/>
      <c r="M60" s="162"/>
      <c r="N60" s="130"/>
      <c r="O60" s="185"/>
    </row>
    <row r="61" spans="1:15" ht="26.45" customHeight="1" thickBot="1">
      <c r="A61" s="1570"/>
      <c r="B61" s="1588"/>
      <c r="C61" s="1330" t="s">
        <v>817</v>
      </c>
      <c r="D61" s="1583"/>
      <c r="E61" s="1584"/>
      <c r="F61" s="727" t="s">
        <v>112</v>
      </c>
      <c r="G61" s="657" t="s">
        <v>79</v>
      </c>
      <c r="H61" s="728">
        <v>10</v>
      </c>
      <c r="I61" s="682">
        <f>H61*1.006</f>
        <v>10.06</v>
      </c>
      <c r="J61" s="682">
        <f>I61*1.006</f>
        <v>10.12036</v>
      </c>
      <c r="K61" s="685" t="s">
        <v>596</v>
      </c>
      <c r="L61" s="424">
        <v>1</v>
      </c>
      <c r="M61" s="424">
        <v>1</v>
      </c>
      <c r="N61" s="425">
        <v>1</v>
      </c>
      <c r="O61" s="185"/>
    </row>
    <row r="62" spans="1:15" ht="13.5" thickBot="1">
      <c r="A62" s="1570"/>
      <c r="B62" s="1589"/>
      <c r="C62" s="1336" t="s">
        <v>76</v>
      </c>
      <c r="D62" s="1581"/>
      <c r="E62" s="1581"/>
      <c r="F62" s="1581"/>
      <c r="G62" s="1582"/>
      <c r="H62" s="320">
        <f>SUM(H61)</f>
        <v>10</v>
      </c>
      <c r="I62" s="286">
        <f>SUM(I61)</f>
        <v>10.06</v>
      </c>
      <c r="J62" s="371">
        <f>SUM(J61)</f>
        <v>10.12036</v>
      </c>
      <c r="K62" s="227"/>
      <c r="L62" s="102"/>
      <c r="M62" s="102"/>
      <c r="N62" s="127"/>
      <c r="O62" s="185"/>
    </row>
    <row r="63" spans="1:15" ht="13.5" thickBot="1">
      <c r="A63" s="1571"/>
      <c r="B63" s="1535" t="s">
        <v>77</v>
      </c>
      <c r="C63" s="1568"/>
      <c r="D63" s="1568"/>
      <c r="E63" s="1568"/>
      <c r="F63" s="1568"/>
      <c r="G63" s="1569"/>
      <c r="H63" s="320">
        <f>H62+H58+H60+H55</f>
        <v>637.5</v>
      </c>
      <c r="I63" s="320">
        <f t="shared" ref="I63:J63" si="1">I62+I58+I60+I55</f>
        <v>582.3420000000001</v>
      </c>
      <c r="J63" s="320">
        <f t="shared" si="1"/>
        <v>616.40928000000008</v>
      </c>
      <c r="K63" s="227"/>
      <c r="L63" s="102"/>
      <c r="M63" s="102"/>
      <c r="N63" s="127"/>
      <c r="O63" s="185"/>
    </row>
    <row r="64" spans="1:15" ht="13.5" thickBot="1">
      <c r="A64" s="1431" t="s">
        <v>7</v>
      </c>
      <c r="B64" s="1565"/>
      <c r="C64" s="1565"/>
      <c r="D64" s="1565"/>
      <c r="E64" s="1565"/>
      <c r="F64" s="1565"/>
      <c r="G64" s="1565"/>
      <c r="H64" s="320">
        <f>H53+H63</f>
        <v>685.3</v>
      </c>
      <c r="I64" s="320">
        <f>I53+I63</f>
        <v>624.39280000000008</v>
      </c>
      <c r="J64" s="320">
        <f>J53+J63</f>
        <v>658.71238480000011</v>
      </c>
      <c r="K64" s="227"/>
      <c r="L64" s="102"/>
      <c r="M64" s="102"/>
      <c r="N64" s="127"/>
      <c r="O64" s="185"/>
    </row>
    <row r="65" spans="1:15" s="4" customFormat="1" ht="13.5" thickBot="1">
      <c r="A65" s="32"/>
      <c r="B65" s="1564" t="s">
        <v>8</v>
      </c>
      <c r="C65" s="1565"/>
      <c r="D65" s="1565"/>
      <c r="E65" s="1565"/>
      <c r="F65" s="1565"/>
      <c r="G65" s="1566"/>
      <c r="H65" s="361">
        <f>H45+H64</f>
        <v>2001.8</v>
      </c>
      <c r="I65" s="361">
        <f>I45+I64</f>
        <v>1006.8856000000001</v>
      </c>
      <c r="J65" s="361">
        <f>J45+J64</f>
        <v>1043.3333416</v>
      </c>
      <c r="K65" s="25"/>
      <c r="L65" s="135"/>
      <c r="M65" s="135"/>
      <c r="N65" s="136"/>
      <c r="O65" s="170"/>
    </row>
    <row r="66" spans="1:15" s="4" customFormat="1" ht="10.5" customHeight="1">
      <c r="A66" s="30"/>
      <c r="B66" s="38"/>
      <c r="C66" s="38"/>
      <c r="D66" s="400"/>
      <c r="E66" s="13"/>
      <c r="F66" s="13" t="s">
        <v>4</v>
      </c>
      <c r="G66" s="166"/>
      <c r="H66" s="13"/>
      <c r="I66" s="21"/>
      <c r="J66" s="21"/>
      <c r="K66" s="21"/>
      <c r="L66" s="137"/>
      <c r="M66" s="137"/>
      <c r="N66" s="137"/>
    </row>
    <row r="67" spans="1:15" ht="10.5" customHeight="1">
      <c r="A67" s="15"/>
      <c r="B67" s="10"/>
      <c r="C67" s="31"/>
      <c r="D67" s="16"/>
      <c r="E67" s="17"/>
      <c r="F67" s="17"/>
      <c r="G67" s="167" t="s">
        <v>259</v>
      </c>
      <c r="H67" s="236">
        <f>SUMIF($G$8:$G$64,"SB",H$8:H$64)</f>
        <v>159.4</v>
      </c>
      <c r="I67" s="236">
        <f>SUMIF($G$8:$G$64,"SB",I$8:I$64)</f>
        <v>66.710800000000006</v>
      </c>
      <c r="J67" s="236">
        <f>SUMIF($G$8:$G$64,"SB",J$8:J$64)</f>
        <v>67.364264800000001</v>
      </c>
      <c r="K67" s="148"/>
      <c r="L67" s="138"/>
      <c r="M67" s="138"/>
      <c r="N67" s="138"/>
    </row>
    <row r="68" spans="1:15" ht="10.5" customHeight="1">
      <c r="A68" s="15"/>
      <c r="B68" s="55"/>
      <c r="C68" s="20"/>
      <c r="D68" s="16"/>
      <c r="E68" s="17"/>
      <c r="F68" s="17"/>
      <c r="G68" s="167" t="s">
        <v>260</v>
      </c>
      <c r="H68" s="236">
        <f>SUMIF($G$8:$G$64,"VB-STD",H$8:H$64)</f>
        <v>752.7</v>
      </c>
      <c r="I68" s="236">
        <f>SUMIF($G$8:$G$64,"VB-STD",I$8:I$64)</f>
        <v>561.48200000000008</v>
      </c>
      <c r="J68" s="236">
        <f>SUMIF($G$8:$G$64,"VB-STD",J$8:J$64)</f>
        <v>595.17092000000014</v>
      </c>
      <c r="K68" s="94"/>
      <c r="L68" s="128"/>
      <c r="M68" s="128"/>
      <c r="N68" s="128"/>
    </row>
    <row r="69" spans="1:15" ht="10.5" customHeight="1">
      <c r="A69" s="15"/>
      <c r="B69" s="55"/>
      <c r="C69" s="20"/>
      <c r="D69" s="7"/>
      <c r="E69" s="8"/>
      <c r="F69" s="8"/>
      <c r="G69" s="167" t="s">
        <v>261</v>
      </c>
      <c r="H69" s="236">
        <f>SUMIF($G$8:$G$64,"ES",H$8:H$64)</f>
        <v>693.1</v>
      </c>
      <c r="I69" s="236">
        <f>SUMIF($G$8:$G$64,"ES",I$8:I$64)</f>
        <v>0</v>
      </c>
      <c r="J69" s="236">
        <f>SUMIF($G$8:$G$64,"ES",J$8:J$64)</f>
        <v>0</v>
      </c>
      <c r="K69" s="94"/>
      <c r="L69" s="128"/>
      <c r="M69" s="128"/>
      <c r="N69" s="128"/>
    </row>
    <row r="70" spans="1:15" ht="10.5" customHeight="1">
      <c r="A70" s="15"/>
      <c r="B70" s="55"/>
      <c r="C70" s="20"/>
      <c r="D70" s="7"/>
      <c r="E70" s="8"/>
      <c r="F70" s="8"/>
      <c r="G70" s="167" t="s">
        <v>262</v>
      </c>
      <c r="H70" s="236">
        <f>SUMIF($G$8:$G$64,"SAARS",H$8:H$64)</f>
        <v>396.6</v>
      </c>
      <c r="I70" s="236">
        <f>SUMIF($G$8:$G$64,"SAARS",I$8:I$64)</f>
        <v>378.69279999999998</v>
      </c>
      <c r="J70" s="236">
        <f>SUMIF($G$8:$G$64,"SAARS",J$8:J$64)</f>
        <v>380.79815680000002</v>
      </c>
      <c r="K70" s="94"/>
      <c r="L70" s="128"/>
      <c r="M70" s="128"/>
      <c r="N70" s="128"/>
    </row>
    <row r="71" spans="1:15" ht="10.5" customHeight="1">
      <c r="A71" s="15"/>
      <c r="B71" s="55"/>
      <c r="C71" s="20"/>
      <c r="D71" s="7"/>
      <c r="E71" s="8"/>
      <c r="F71" s="8"/>
      <c r="G71" s="167" t="s">
        <v>263</v>
      </c>
      <c r="H71" s="236">
        <f>SUMIF($G$8:$G$64,"KPPP",H$8:H$64)</f>
        <v>0</v>
      </c>
      <c r="I71" s="236">
        <f>SUMIF($G$8:$G$64,"KPPP",I$8:I$64)</f>
        <v>0</v>
      </c>
      <c r="J71" s="236">
        <f>SUMIF($G$8:$G$64,"KPPP",J$8:J$64)</f>
        <v>0</v>
      </c>
      <c r="K71" s="94"/>
      <c r="L71" s="128"/>
      <c r="M71" s="128"/>
      <c r="N71" s="128"/>
    </row>
    <row r="72" spans="1:15" ht="10.5" customHeight="1">
      <c r="A72" s="15"/>
      <c r="B72" s="55"/>
      <c r="C72" s="20"/>
      <c r="D72" s="7"/>
      <c r="E72" s="8"/>
      <c r="F72" s="8"/>
      <c r="G72" s="168" t="s">
        <v>264</v>
      </c>
      <c r="H72" s="236">
        <f>SUMIF($G$8:$G$64,"UF",H$8:H$64)</f>
        <v>0</v>
      </c>
      <c r="I72" s="236">
        <f>SUMIF($G$8:$G$64,"UF",I$8:I$64)</f>
        <v>0</v>
      </c>
      <c r="J72" s="236">
        <f>SUMIF($G$8:$G$64,"UF",J$8:J$64)</f>
        <v>0</v>
      </c>
      <c r="K72" s="94"/>
      <c r="L72" s="128"/>
      <c r="M72" s="128"/>
      <c r="N72" s="128"/>
    </row>
    <row r="73" spans="1:15" ht="10.5" customHeight="1">
      <c r="A73" s="15"/>
      <c r="B73" s="55"/>
      <c r="C73" s="20"/>
      <c r="D73" s="7"/>
      <c r="E73" s="8"/>
      <c r="F73" s="8"/>
      <c r="G73" s="167" t="s">
        <v>265</v>
      </c>
      <c r="H73" s="236">
        <f>SUMIF($G$8:$G$64,"VB",H$8:H$64)</f>
        <v>0</v>
      </c>
      <c r="I73" s="236">
        <f>SUMIF($G$8:$G$64,"VB",I$8:I$64)</f>
        <v>0</v>
      </c>
      <c r="J73" s="236">
        <f>SUMIF($G$8:$G$64,"VB",J$8:J$64)</f>
        <v>0</v>
      </c>
      <c r="K73" s="94"/>
      <c r="L73" s="128"/>
      <c r="M73" s="128"/>
      <c r="N73" s="128"/>
    </row>
    <row r="74" spans="1:15" ht="10.5" customHeight="1">
      <c r="A74" s="15"/>
      <c r="B74" s="55"/>
      <c r="C74" s="20"/>
      <c r="D74" s="7"/>
      <c r="E74" s="8"/>
      <c r="F74" s="8"/>
      <c r="G74" s="167" t="s">
        <v>266</v>
      </c>
      <c r="H74" s="236">
        <f>SUMIF($G$8:$G$64,"SL",H$8:H$64)</f>
        <v>0</v>
      </c>
      <c r="I74" s="236">
        <f>SUMIF($G$8:$G$64,"SL",I$8:I$64)</f>
        <v>0</v>
      </c>
      <c r="J74" s="236">
        <f>SUMIF($G$8:$G$64,"SL",J$8:J$64)</f>
        <v>0</v>
      </c>
      <c r="K74" s="94"/>
      <c r="L74" s="128"/>
      <c r="M74" s="128"/>
      <c r="N74" s="128"/>
    </row>
    <row r="75" spans="1:15" ht="10.5" customHeight="1">
      <c r="A75" s="24"/>
      <c r="B75" s="11"/>
      <c r="C75" s="23"/>
      <c r="D75" s="7"/>
      <c r="E75" s="8"/>
      <c r="F75" s="8"/>
      <c r="G75" s="167" t="s">
        <v>267</v>
      </c>
      <c r="H75" s="236">
        <f>SUMIF($G$8:$G$64,"PL",H$8:H$64)</f>
        <v>0</v>
      </c>
      <c r="I75" s="236">
        <f>SUMIF($G$8:$G$64,"PL",I$8:I$64)</f>
        <v>0</v>
      </c>
      <c r="J75" s="236">
        <f>SUMIF($G$8:$G$64,"PL",J$8:J$64)</f>
        <v>0</v>
      </c>
      <c r="K75" s="94"/>
      <c r="L75" s="128"/>
      <c r="M75" s="128"/>
      <c r="N75" s="128"/>
    </row>
    <row r="76" spans="1:15" ht="10.5" customHeight="1">
      <c r="A76" s="24"/>
      <c r="B76" s="11"/>
      <c r="C76" s="23"/>
      <c r="D76" s="16"/>
      <c r="E76" s="17"/>
      <c r="F76" s="17"/>
      <c r="G76" s="167" t="s">
        <v>268</v>
      </c>
      <c r="H76" s="236">
        <f>SUMIF($G$8:$G$64,"KL",H$8:H$64)</f>
        <v>0</v>
      </c>
      <c r="I76" s="236">
        <f>SUMIF($G$8:$G$64,"KL",I$8:I$64)</f>
        <v>0</v>
      </c>
      <c r="J76" s="236">
        <f>SUMIF($G$8:$G$64,"KL",J$8:J$64)</f>
        <v>0</v>
      </c>
      <c r="K76" s="148"/>
      <c r="L76" s="138"/>
      <c r="M76" s="138"/>
      <c r="N76" s="138"/>
    </row>
    <row r="77" spans="1:15" ht="10.5" customHeight="1">
      <c r="A77" s="15"/>
      <c r="B77" s="402"/>
      <c r="C77" s="403"/>
      <c r="D77" s="16"/>
      <c r="E77" s="17"/>
      <c r="F77" s="17"/>
      <c r="G77" s="167" t="s">
        <v>269</v>
      </c>
      <c r="H77" s="236">
        <f>SUMIF($G$8:$G$64,"TPP",H$8:H$64)</f>
        <v>0</v>
      </c>
      <c r="I77" s="236">
        <f>SUMIF($G$8:$G$64,"TPP",I$8:I$64)</f>
        <v>0</v>
      </c>
      <c r="J77" s="236">
        <f>SUMIF($G$8:$G$64,"TPP",J$8:J$64)</f>
        <v>0</v>
      </c>
      <c r="K77" s="94"/>
      <c r="L77" s="128"/>
      <c r="M77" s="128"/>
      <c r="N77" s="128"/>
    </row>
    <row r="78" spans="1:15" s="4" customFormat="1" ht="10.5" customHeight="1">
      <c r="A78" s="48"/>
      <c r="B78" s="5"/>
      <c r="C78" s="5"/>
      <c r="D78" s="5"/>
      <c r="E78" s="5"/>
      <c r="F78" s="5"/>
      <c r="G78" s="169" t="s">
        <v>8</v>
      </c>
      <c r="H78" s="404">
        <f>SUM(H67:H77)</f>
        <v>2001.8000000000002</v>
      </c>
      <c r="I78" s="404">
        <f>SUM(I67:I77)</f>
        <v>1006.8856000000001</v>
      </c>
      <c r="J78" s="404">
        <f>SUM(J67:J77)</f>
        <v>1043.3333416</v>
      </c>
      <c r="K78" s="49"/>
      <c r="L78" s="139"/>
      <c r="M78" s="405"/>
      <c r="N78" s="405"/>
    </row>
    <row r="79" spans="1:15">
      <c r="M79" s="14"/>
      <c r="N79" s="14"/>
    </row>
  </sheetData>
  <mergeCells count="120">
    <mergeCell ref="J48:J49"/>
    <mergeCell ref="B38:B43"/>
    <mergeCell ref="C40:E40"/>
    <mergeCell ref="C41:G41"/>
    <mergeCell ref="C42:E42"/>
    <mergeCell ref="C43:G43"/>
    <mergeCell ref="B37:G37"/>
    <mergeCell ref="J30:J31"/>
    <mergeCell ref="B30:B32"/>
    <mergeCell ref="C46:E46"/>
    <mergeCell ref="B44:G44"/>
    <mergeCell ref="A45:G45"/>
    <mergeCell ref="A8:A44"/>
    <mergeCell ref="B34:B36"/>
    <mergeCell ref="C24:G24"/>
    <mergeCell ref="C21:G21"/>
    <mergeCell ref="B33:G33"/>
    <mergeCell ref="C36:G36"/>
    <mergeCell ref="C38:E38"/>
    <mergeCell ref="C39:G39"/>
    <mergeCell ref="C9:G9"/>
    <mergeCell ref="F12:F14"/>
    <mergeCell ref="C28:G28"/>
    <mergeCell ref="C22:E23"/>
    <mergeCell ref="J56:J57"/>
    <mergeCell ref="C62:G62"/>
    <mergeCell ref="C61:E61"/>
    <mergeCell ref="B53:G53"/>
    <mergeCell ref="C55:G55"/>
    <mergeCell ref="C58:G58"/>
    <mergeCell ref="C56:E57"/>
    <mergeCell ref="F56:F57"/>
    <mergeCell ref="G56:G57"/>
    <mergeCell ref="B54:B62"/>
    <mergeCell ref="B65:G65"/>
    <mergeCell ref="H56:H57"/>
    <mergeCell ref="I56:I57"/>
    <mergeCell ref="A64:G64"/>
    <mergeCell ref="B63:G63"/>
    <mergeCell ref="A46:A63"/>
    <mergeCell ref="C47:G47"/>
    <mergeCell ref="C50:G50"/>
    <mergeCell ref="H48:H49"/>
    <mergeCell ref="I48:I49"/>
    <mergeCell ref="G48:G49"/>
    <mergeCell ref="C48:E49"/>
    <mergeCell ref="F48:F49"/>
    <mergeCell ref="C51:E51"/>
    <mergeCell ref="C52:G52"/>
    <mergeCell ref="B46:B51"/>
    <mergeCell ref="C59:E59"/>
    <mergeCell ref="C60:G60"/>
    <mergeCell ref="A3:J3"/>
    <mergeCell ref="K3:L3"/>
    <mergeCell ref="C54:E54"/>
    <mergeCell ref="A5:A7"/>
    <mergeCell ref="B5:B7"/>
    <mergeCell ref="C5:C7"/>
    <mergeCell ref="D5:D7"/>
    <mergeCell ref="E5:E7"/>
    <mergeCell ref="I5:I7"/>
    <mergeCell ref="J5:J7"/>
    <mergeCell ref="C25:E27"/>
    <mergeCell ref="C16:E20"/>
    <mergeCell ref="F16:F20"/>
    <mergeCell ref="K5:N5"/>
    <mergeCell ref="K6:K7"/>
    <mergeCell ref="L6:N6"/>
    <mergeCell ref="H5:H7"/>
    <mergeCell ref="F5:F7"/>
    <mergeCell ref="G5:G7"/>
    <mergeCell ref="C8:E8"/>
    <mergeCell ref="B8:B28"/>
    <mergeCell ref="F34:F35"/>
    <mergeCell ref="G34:G35"/>
    <mergeCell ref="C34:E35"/>
    <mergeCell ref="I34:I35"/>
    <mergeCell ref="J34:J35"/>
    <mergeCell ref="C32:G32"/>
    <mergeCell ref="F30:F31"/>
    <mergeCell ref="G30:G31"/>
    <mergeCell ref="C29:G29"/>
    <mergeCell ref="F25:F27"/>
    <mergeCell ref="C30:E31"/>
    <mergeCell ref="C15:G15"/>
    <mergeCell ref="H22:H23"/>
    <mergeCell ref="H30:H31"/>
    <mergeCell ref="I30:I31"/>
    <mergeCell ref="I22:I23"/>
    <mergeCell ref="G22:G23"/>
    <mergeCell ref="G25:G26"/>
    <mergeCell ref="F22:F23"/>
    <mergeCell ref="H34:H35"/>
    <mergeCell ref="C10:E10"/>
    <mergeCell ref="C11:G11"/>
    <mergeCell ref="G12:G13"/>
    <mergeCell ref="H12:H13"/>
    <mergeCell ref="I12:I13"/>
    <mergeCell ref="J12:J13"/>
    <mergeCell ref="G16:G20"/>
    <mergeCell ref="H16:H20"/>
    <mergeCell ref="I16:I20"/>
    <mergeCell ref="L25:L26"/>
    <mergeCell ref="M25:M26"/>
    <mergeCell ref="N25:N26"/>
    <mergeCell ref="C12:E14"/>
    <mergeCell ref="J16:J20"/>
    <mergeCell ref="H25:H26"/>
    <mergeCell ref="I25:I26"/>
    <mergeCell ref="K16:K17"/>
    <mergeCell ref="L16:L17"/>
    <mergeCell ref="M16:M17"/>
    <mergeCell ref="N16:N17"/>
    <mergeCell ref="K19:K20"/>
    <mergeCell ref="L19:L20"/>
    <mergeCell ref="M19:M20"/>
    <mergeCell ref="N19:N20"/>
    <mergeCell ref="J25:J26"/>
    <mergeCell ref="J22:J23"/>
    <mergeCell ref="K25:K26"/>
  </mergeCells>
  <phoneticPr fontId="6" type="noConversion"/>
  <pageMargins left="0.39370078740157483" right="0.39370078740157483" top="0.59055118110236227" bottom="0.28000000000000003" header="0" footer="0"/>
  <pageSetup paperSize="9" scale="96" orientation="landscape" r:id="rId1"/>
  <headerFooter alignWithMargins="0">
    <oddHeader>&amp;C6.1.-&amp;P</oddHeader>
  </headerFooter>
  <rowBreaks count="1" manualBreakCount="1">
    <brk id="43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291"/>
  <sheetViews>
    <sheetView topLeftCell="A55" zoomScaleNormal="100" zoomScaleSheetLayoutView="100" workbookViewId="0">
      <selection activeCell="C87" sqref="C87:E87"/>
    </sheetView>
  </sheetViews>
  <sheetFormatPr defaultColWidth="7.85546875" defaultRowHeight="12.75"/>
  <cols>
    <col min="1" max="1" width="6.7109375" style="54" customWidth="1"/>
    <col min="2" max="2" width="8.85546875" style="2" customWidth="1"/>
    <col min="3" max="5" width="8.7109375" style="2" customWidth="1"/>
    <col min="6" max="6" width="13.85546875" style="2" customWidth="1"/>
    <col min="7" max="8" width="8.7109375" style="2" customWidth="1"/>
    <col min="9" max="10" width="8.7109375" style="226" customWidth="1"/>
    <col min="11" max="11" width="32.140625" style="226" customWidth="1"/>
    <col min="12" max="13" width="7.28515625" style="2" customWidth="1"/>
    <col min="14" max="14" width="8.28515625" style="2" customWidth="1"/>
    <col min="15" max="17" width="7.85546875" style="226"/>
    <col min="18" max="18" width="0" style="226" hidden="1" customWidth="1"/>
    <col min="19" max="16384" width="7.85546875" style="226"/>
  </cols>
  <sheetData>
    <row r="1" spans="1:18" ht="15.75">
      <c r="A1" s="42" t="s">
        <v>406</v>
      </c>
      <c r="B1" s="43"/>
      <c r="C1" s="43"/>
      <c r="D1" s="43"/>
      <c r="E1" s="43"/>
      <c r="F1" s="43"/>
      <c r="G1" s="43"/>
      <c r="H1" s="43"/>
      <c r="I1" s="43"/>
      <c r="J1" s="43"/>
      <c r="K1" s="226" t="s">
        <v>405</v>
      </c>
    </row>
    <row r="2" spans="1:18" ht="30.75" customHeight="1">
      <c r="A2" s="1735" t="s">
        <v>108</v>
      </c>
      <c r="B2" s="1735"/>
      <c r="C2" s="1735"/>
      <c r="D2" s="1735"/>
      <c r="E2" s="1735"/>
      <c r="F2" s="1735"/>
      <c r="G2" s="1735"/>
      <c r="H2" s="1735"/>
      <c r="I2" s="1735"/>
      <c r="J2" s="1735"/>
      <c r="K2" s="226" t="s">
        <v>65</v>
      </c>
    </row>
    <row r="3" spans="1:18" ht="33.75" customHeight="1">
      <c r="A3" s="1311" t="s">
        <v>75</v>
      </c>
      <c r="B3" s="1311"/>
      <c r="C3" s="1311"/>
      <c r="D3" s="1311"/>
      <c r="E3" s="1311"/>
      <c r="F3" s="1311"/>
      <c r="G3" s="1311"/>
      <c r="H3" s="1311"/>
      <c r="I3" s="1311"/>
      <c r="J3" s="1311"/>
      <c r="K3" s="1734" t="s">
        <v>396</v>
      </c>
      <c r="L3" s="1734"/>
    </row>
    <row r="4" spans="1:18" ht="15.75">
      <c r="A4" s="3"/>
      <c r="B4" s="3"/>
      <c r="C4" s="3"/>
      <c r="D4" s="3"/>
      <c r="E4" s="3"/>
      <c r="F4" s="3"/>
      <c r="G4" s="3"/>
      <c r="H4" s="3"/>
      <c r="I4" s="3"/>
      <c r="J4" s="3"/>
      <c r="K4" s="226" t="s">
        <v>397</v>
      </c>
    </row>
    <row r="5" spans="1:18" ht="3" customHeight="1" thickBot="1">
      <c r="A5" s="14"/>
      <c r="B5" s="14"/>
      <c r="C5" s="14"/>
      <c r="D5" s="14"/>
      <c r="E5" s="14"/>
      <c r="F5" s="14"/>
      <c r="G5" s="14"/>
      <c r="H5" s="14"/>
      <c r="I5" s="9"/>
      <c r="J5" s="9"/>
      <c r="L5" s="14"/>
      <c r="M5" s="14"/>
      <c r="N5" s="14"/>
    </row>
    <row r="6" spans="1:18" ht="13.5" customHeight="1">
      <c r="A6" s="1182" t="s">
        <v>68</v>
      </c>
      <c r="B6" s="1185" t="s">
        <v>69</v>
      </c>
      <c r="C6" s="1185" t="s">
        <v>70</v>
      </c>
      <c r="D6" s="1185" t="s">
        <v>27</v>
      </c>
      <c r="E6" s="1191" t="s">
        <v>71</v>
      </c>
      <c r="F6" s="1185" t="s">
        <v>5</v>
      </c>
      <c r="G6" s="1236" t="s">
        <v>72</v>
      </c>
      <c r="H6" s="1185" t="s">
        <v>449</v>
      </c>
      <c r="I6" s="1233" t="s">
        <v>390</v>
      </c>
      <c r="J6" s="1230" t="s">
        <v>450</v>
      </c>
      <c r="K6" s="1222" t="s">
        <v>73</v>
      </c>
      <c r="L6" s="1223"/>
      <c r="M6" s="1223"/>
      <c r="N6" s="1224"/>
    </row>
    <row r="7" spans="1:18" ht="10.5" customHeight="1">
      <c r="A7" s="1183"/>
      <c r="B7" s="1186"/>
      <c r="C7" s="1186"/>
      <c r="D7" s="1186"/>
      <c r="E7" s="1192"/>
      <c r="F7" s="1186"/>
      <c r="G7" s="1237"/>
      <c r="H7" s="1186"/>
      <c r="I7" s="1234"/>
      <c r="J7" s="1231"/>
      <c r="K7" s="1225" t="s">
        <v>27</v>
      </c>
      <c r="L7" s="1227" t="s">
        <v>74</v>
      </c>
      <c r="M7" s="1228"/>
      <c r="N7" s="1229"/>
    </row>
    <row r="8" spans="1:18" ht="93.75" customHeight="1" thickBot="1">
      <c r="A8" s="1184"/>
      <c r="B8" s="1187"/>
      <c r="C8" s="1186"/>
      <c r="D8" s="1186"/>
      <c r="E8" s="1192"/>
      <c r="F8" s="1186"/>
      <c r="G8" s="1237"/>
      <c r="H8" s="1186"/>
      <c r="I8" s="1234"/>
      <c r="J8" s="1231"/>
      <c r="K8" s="1329"/>
      <c r="L8" s="570" t="s">
        <v>177</v>
      </c>
      <c r="M8" s="570" t="s">
        <v>278</v>
      </c>
      <c r="N8" s="738" t="s">
        <v>407</v>
      </c>
    </row>
    <row r="9" spans="1:18" ht="26.25" customHeight="1" thickBot="1">
      <c r="A9" s="1159" t="s">
        <v>689</v>
      </c>
      <c r="B9" s="1352" t="s">
        <v>658</v>
      </c>
      <c r="C9" s="1330" t="s">
        <v>672</v>
      </c>
      <c r="D9" s="1343"/>
      <c r="E9" s="1344"/>
      <c r="F9" s="724" t="s">
        <v>112</v>
      </c>
      <c r="G9" s="739" t="s">
        <v>79</v>
      </c>
      <c r="H9" s="740">
        <v>295.3</v>
      </c>
      <c r="I9" s="369">
        <f t="shared" ref="I9:J13" si="0">H9*1.006</f>
        <v>297.0718</v>
      </c>
      <c r="J9" s="369">
        <f t="shared" si="0"/>
        <v>298.85423079999998</v>
      </c>
      <c r="K9" s="741" t="s">
        <v>709</v>
      </c>
      <c r="L9" s="742">
        <v>37.25</v>
      </c>
      <c r="M9" s="742">
        <v>37.25</v>
      </c>
      <c r="N9" s="1046">
        <v>37.25</v>
      </c>
      <c r="R9" s="226">
        <v>1</v>
      </c>
    </row>
    <row r="10" spans="1:18" ht="12.75" customHeight="1" thickBot="1">
      <c r="A10" s="1157"/>
      <c r="B10" s="1379"/>
      <c r="C10" s="1262" t="s">
        <v>76</v>
      </c>
      <c r="D10" s="1651"/>
      <c r="E10" s="1651"/>
      <c r="F10" s="1651"/>
      <c r="G10" s="1652"/>
      <c r="H10" s="1025">
        <f>SUM(H9)</f>
        <v>295.3</v>
      </c>
      <c r="I10" s="1025">
        <f>SUM(I9)</f>
        <v>297.0718</v>
      </c>
      <c r="J10" s="1025">
        <f>SUM(J9)</f>
        <v>298.85423079999998</v>
      </c>
      <c r="K10" s="61"/>
      <c r="L10" s="76"/>
      <c r="M10" s="76"/>
      <c r="N10" s="129"/>
    </row>
    <row r="11" spans="1:18" ht="10.5" customHeight="1">
      <c r="A11" s="1157"/>
      <c r="B11" s="1627"/>
      <c r="C11" s="1076" t="s">
        <v>674</v>
      </c>
      <c r="D11" s="1152"/>
      <c r="E11" s="1152"/>
      <c r="F11" s="372" t="s">
        <v>122</v>
      </c>
      <c r="G11" s="961" t="s">
        <v>79</v>
      </c>
      <c r="H11" s="736">
        <v>27.5</v>
      </c>
      <c r="I11" s="984">
        <f t="shared" si="0"/>
        <v>27.664999999999999</v>
      </c>
      <c r="J11" s="984">
        <f t="shared" si="0"/>
        <v>27.83099</v>
      </c>
      <c r="K11" s="1646" t="s">
        <v>236</v>
      </c>
      <c r="L11" s="1630">
        <f>2.66+2.9+5.53+0.9+5.315+4.319+5.71+6</f>
        <v>33.334000000000003</v>
      </c>
      <c r="M11" s="1630">
        <f t="shared" ref="M11:N11" si="1">2.66+2.9+5.53+0.9+5.315+4.319+5.71+6</f>
        <v>33.334000000000003</v>
      </c>
      <c r="N11" s="1632">
        <f t="shared" si="1"/>
        <v>33.334000000000003</v>
      </c>
      <c r="R11" s="226">
        <v>1</v>
      </c>
    </row>
    <row r="12" spans="1:18" ht="10.5" customHeight="1">
      <c r="A12" s="1157"/>
      <c r="B12" s="1627"/>
      <c r="C12" s="1626"/>
      <c r="D12" s="1308"/>
      <c r="E12" s="1308"/>
      <c r="F12" s="743" t="s">
        <v>178</v>
      </c>
      <c r="G12" s="972" t="s">
        <v>79</v>
      </c>
      <c r="H12" s="966">
        <v>55.4</v>
      </c>
      <c r="I12" s="1010">
        <f t="shared" si="0"/>
        <v>55.732399999999998</v>
      </c>
      <c r="J12" s="1010">
        <f t="shared" si="0"/>
        <v>56.066794399999999</v>
      </c>
      <c r="K12" s="1647"/>
      <c r="L12" s="1631"/>
      <c r="M12" s="1631"/>
      <c r="N12" s="1633"/>
      <c r="R12" s="226">
        <v>1</v>
      </c>
    </row>
    <row r="13" spans="1:18" ht="22.5">
      <c r="A13" s="1157"/>
      <c r="B13" s="1627"/>
      <c r="C13" s="1626"/>
      <c r="D13" s="1308"/>
      <c r="E13" s="1308"/>
      <c r="F13" s="743" t="s">
        <v>121</v>
      </c>
      <c r="G13" s="972" t="s">
        <v>79</v>
      </c>
      <c r="H13" s="966">
        <v>1595</v>
      </c>
      <c r="I13" s="1010">
        <f t="shared" si="0"/>
        <v>1604.57</v>
      </c>
      <c r="J13" s="1010">
        <f t="shared" si="0"/>
        <v>1614.19742</v>
      </c>
      <c r="K13" s="744" t="s">
        <v>257</v>
      </c>
      <c r="L13" s="1006">
        <v>296.32</v>
      </c>
      <c r="M13" s="1006">
        <v>297.32</v>
      </c>
      <c r="N13" s="746">
        <v>298.32</v>
      </c>
      <c r="R13" s="226">
        <v>1</v>
      </c>
    </row>
    <row r="14" spans="1:18" ht="13.5" customHeight="1">
      <c r="A14" s="1157"/>
      <c r="B14" s="1627"/>
      <c r="C14" s="1626"/>
      <c r="D14" s="1308"/>
      <c r="E14" s="1308"/>
      <c r="F14" s="743" t="s">
        <v>124</v>
      </c>
      <c r="G14" s="972" t="s">
        <v>79</v>
      </c>
      <c r="H14" s="325">
        <v>40.299999999999997</v>
      </c>
      <c r="I14" s="1010">
        <f t="shared" ref="I14:J19" si="2">H14*1.006</f>
        <v>40.541799999999995</v>
      </c>
      <c r="J14" s="1010">
        <f t="shared" si="2"/>
        <v>40.785050799999993</v>
      </c>
      <c r="K14" s="1640" t="s">
        <v>710</v>
      </c>
      <c r="L14" s="1642">
        <f>229+224+221+220+306+226+287+434</f>
        <v>2147</v>
      </c>
      <c r="M14" s="1642">
        <f t="shared" ref="M14:N14" si="3">229+224+221+220+306+226+287+434</f>
        <v>2147</v>
      </c>
      <c r="N14" s="1644">
        <f t="shared" si="3"/>
        <v>2147</v>
      </c>
      <c r="R14" s="226">
        <v>1</v>
      </c>
    </row>
    <row r="15" spans="1:18" ht="12" customHeight="1">
      <c r="A15" s="1157"/>
      <c r="B15" s="1627"/>
      <c r="C15" s="1626"/>
      <c r="D15" s="1308"/>
      <c r="E15" s="1308"/>
      <c r="F15" s="743" t="s">
        <v>125</v>
      </c>
      <c r="G15" s="972" t="s">
        <v>79</v>
      </c>
      <c r="H15" s="966">
        <v>39</v>
      </c>
      <c r="I15" s="1010">
        <f t="shared" si="2"/>
        <v>39.234000000000002</v>
      </c>
      <c r="J15" s="1010">
        <f t="shared" si="2"/>
        <v>39.469404000000004</v>
      </c>
      <c r="K15" s="1641"/>
      <c r="L15" s="1643"/>
      <c r="M15" s="1643"/>
      <c r="N15" s="1645"/>
      <c r="R15" s="226">
        <v>1</v>
      </c>
    </row>
    <row r="16" spans="1:18" ht="10.5" customHeight="1">
      <c r="A16" s="1157"/>
      <c r="B16" s="1627"/>
      <c r="C16" s="1626"/>
      <c r="D16" s="1308"/>
      <c r="E16" s="1308"/>
      <c r="F16" s="743" t="s">
        <v>128</v>
      </c>
      <c r="G16" s="972" t="s">
        <v>79</v>
      </c>
      <c r="H16" s="966">
        <v>48.3</v>
      </c>
      <c r="I16" s="1010">
        <f t="shared" si="2"/>
        <v>48.589799999999997</v>
      </c>
      <c r="J16" s="1010">
        <f t="shared" si="2"/>
        <v>48.881338799999995</v>
      </c>
      <c r="K16" s="1648" t="s">
        <v>162</v>
      </c>
      <c r="L16" s="1634">
        <f>(68096+224299+127280+34379+133110+105257+148773+121127)/10000</f>
        <v>96.232100000000003</v>
      </c>
      <c r="M16" s="1634">
        <f t="shared" ref="M16:N16" si="4">(68096+224299+127280+34379+133110+105257+148773+121127)/10000</f>
        <v>96.232100000000003</v>
      </c>
      <c r="N16" s="1637">
        <f t="shared" si="4"/>
        <v>96.232100000000003</v>
      </c>
      <c r="R16" s="226">
        <v>1</v>
      </c>
    </row>
    <row r="17" spans="1:18" ht="10.5" customHeight="1">
      <c r="A17" s="1157"/>
      <c r="B17" s="1627"/>
      <c r="C17" s="1626"/>
      <c r="D17" s="1308"/>
      <c r="E17" s="1308"/>
      <c r="F17" s="747" t="s">
        <v>126</v>
      </c>
      <c r="G17" s="972" t="s">
        <v>79</v>
      </c>
      <c r="H17" s="325">
        <v>43.6</v>
      </c>
      <c r="I17" s="1010">
        <f t="shared" si="2"/>
        <v>43.861600000000003</v>
      </c>
      <c r="J17" s="1010">
        <f t="shared" si="2"/>
        <v>44.1247696</v>
      </c>
      <c r="K17" s="1649"/>
      <c r="L17" s="1635"/>
      <c r="M17" s="1635"/>
      <c r="N17" s="1638"/>
      <c r="R17" s="226">
        <v>1</v>
      </c>
    </row>
    <row r="18" spans="1:18" ht="10.5" customHeight="1">
      <c r="A18" s="1157"/>
      <c r="B18" s="1627"/>
      <c r="C18" s="1626"/>
      <c r="D18" s="1308"/>
      <c r="E18" s="1308"/>
      <c r="F18" s="743" t="s">
        <v>123</v>
      </c>
      <c r="G18" s="972" t="s">
        <v>79</v>
      </c>
      <c r="H18" s="325">
        <v>50.7</v>
      </c>
      <c r="I18" s="1010">
        <f t="shared" si="2"/>
        <v>51.004200000000004</v>
      </c>
      <c r="J18" s="1010">
        <f t="shared" si="2"/>
        <v>51.310225200000005</v>
      </c>
      <c r="K18" s="1649"/>
      <c r="L18" s="1635"/>
      <c r="M18" s="1635"/>
      <c r="N18" s="1638"/>
      <c r="R18" s="226">
        <v>1</v>
      </c>
    </row>
    <row r="19" spans="1:18" ht="13.5" thickBot="1">
      <c r="A19" s="1157"/>
      <c r="B19" s="1627"/>
      <c r="C19" s="1312"/>
      <c r="D19" s="1313"/>
      <c r="E19" s="1313"/>
      <c r="F19" s="748" t="s">
        <v>127</v>
      </c>
      <c r="G19" s="982" t="s">
        <v>79</v>
      </c>
      <c r="H19" s="326">
        <v>61.8</v>
      </c>
      <c r="I19" s="1013">
        <f t="shared" si="2"/>
        <v>62.1708</v>
      </c>
      <c r="J19" s="1013">
        <f t="shared" si="2"/>
        <v>62.543824800000003</v>
      </c>
      <c r="K19" s="1650"/>
      <c r="L19" s="1636"/>
      <c r="M19" s="1636"/>
      <c r="N19" s="1639"/>
      <c r="R19" s="226">
        <v>1</v>
      </c>
    </row>
    <row r="20" spans="1:18" ht="13.5" thickBot="1">
      <c r="A20" s="1157"/>
      <c r="B20" s="1379"/>
      <c r="C20" s="1365" t="s">
        <v>76</v>
      </c>
      <c r="D20" s="1628"/>
      <c r="E20" s="1628"/>
      <c r="F20" s="1628"/>
      <c r="G20" s="1629"/>
      <c r="H20" s="359">
        <f>SUM(H11:H19)</f>
        <v>1961.6</v>
      </c>
      <c r="I20" s="359">
        <f>SUM(I11:I19)</f>
        <v>1973.3696</v>
      </c>
      <c r="J20" s="359">
        <f>SUM(J11:J19)</f>
        <v>1985.2098176000002</v>
      </c>
      <c r="K20" s="95"/>
      <c r="L20" s="162"/>
      <c r="M20" s="162"/>
      <c r="N20" s="130"/>
    </row>
    <row r="21" spans="1:18" ht="12.75" customHeight="1">
      <c r="A21" s="1157"/>
      <c r="B21" s="1379"/>
      <c r="C21" s="1090" t="s">
        <v>673</v>
      </c>
      <c r="D21" s="1139"/>
      <c r="E21" s="1140"/>
      <c r="F21" s="372" t="s">
        <v>112</v>
      </c>
      <c r="G21" s="638" t="s">
        <v>80</v>
      </c>
      <c r="H21" s="928">
        <v>21.2</v>
      </c>
      <c r="I21" s="952">
        <f>H21</f>
        <v>21.2</v>
      </c>
      <c r="J21" s="952">
        <f>I21</f>
        <v>21.2</v>
      </c>
      <c r="K21" s="749" t="s">
        <v>402</v>
      </c>
      <c r="L21" s="750">
        <v>2</v>
      </c>
      <c r="M21" s="238">
        <v>2</v>
      </c>
      <c r="N21" s="239">
        <v>2</v>
      </c>
      <c r="R21" s="226">
        <v>1</v>
      </c>
    </row>
    <row r="22" spans="1:18" ht="12.75" customHeight="1">
      <c r="A22" s="1157"/>
      <c r="B22" s="1379"/>
      <c r="C22" s="1141"/>
      <c r="D22" s="1142"/>
      <c r="E22" s="1143"/>
      <c r="F22" s="1180" t="s">
        <v>122</v>
      </c>
      <c r="G22" s="1410" t="s">
        <v>79</v>
      </c>
      <c r="H22" s="1118">
        <v>30</v>
      </c>
      <c r="I22" s="1413">
        <f>H22</f>
        <v>30</v>
      </c>
      <c r="J22" s="1413">
        <f>I22</f>
        <v>30</v>
      </c>
      <c r="K22" s="751" t="s">
        <v>399</v>
      </c>
      <c r="L22" s="752">
        <v>1</v>
      </c>
      <c r="M22" s="752"/>
      <c r="N22" s="753"/>
    </row>
    <row r="23" spans="1:18" ht="12" customHeight="1">
      <c r="A23" s="1157"/>
      <c r="B23" s="1379"/>
      <c r="C23" s="1141"/>
      <c r="D23" s="1142"/>
      <c r="E23" s="1143"/>
      <c r="F23" s="1683"/>
      <c r="G23" s="1708"/>
      <c r="H23" s="1706"/>
      <c r="I23" s="1707"/>
      <c r="J23" s="1707"/>
      <c r="K23" s="751" t="s">
        <v>609</v>
      </c>
      <c r="L23" s="752">
        <v>1</v>
      </c>
      <c r="M23" s="752"/>
      <c r="N23" s="753"/>
    </row>
    <row r="24" spans="1:18" ht="10.5" customHeight="1">
      <c r="A24" s="1157"/>
      <c r="B24" s="1379"/>
      <c r="C24" s="1141"/>
      <c r="D24" s="1142"/>
      <c r="E24" s="1143"/>
      <c r="F24" s="1683"/>
      <c r="G24" s="1708"/>
      <c r="H24" s="1706"/>
      <c r="I24" s="1707"/>
      <c r="J24" s="1707"/>
      <c r="K24" s="751" t="s">
        <v>610</v>
      </c>
      <c r="L24" s="752"/>
      <c r="M24" s="752">
        <v>1</v>
      </c>
      <c r="N24" s="753">
        <v>1</v>
      </c>
    </row>
    <row r="25" spans="1:18" ht="10.5" customHeight="1">
      <c r="A25" s="1157"/>
      <c r="B25" s="1379"/>
      <c r="C25" s="1141"/>
      <c r="D25" s="1142"/>
      <c r="E25" s="1143"/>
      <c r="F25" s="1683"/>
      <c r="G25" s="1708"/>
      <c r="H25" s="1706"/>
      <c r="I25" s="1707"/>
      <c r="J25" s="1707"/>
      <c r="K25" s="751" t="s">
        <v>611</v>
      </c>
      <c r="L25" s="752">
        <v>200</v>
      </c>
      <c r="M25" s="752">
        <v>500</v>
      </c>
      <c r="N25" s="753">
        <v>200</v>
      </c>
    </row>
    <row r="26" spans="1:18">
      <c r="A26" s="1157"/>
      <c r="B26" s="1379"/>
      <c r="C26" s="1141"/>
      <c r="D26" s="1142"/>
      <c r="E26" s="1143"/>
      <c r="F26" s="1683"/>
      <c r="G26" s="1708"/>
      <c r="H26" s="1706"/>
      <c r="I26" s="1707"/>
      <c r="J26" s="1707"/>
      <c r="K26" s="751" t="s">
        <v>398</v>
      </c>
      <c r="L26" s="752">
        <v>5</v>
      </c>
      <c r="M26" s="752">
        <v>10</v>
      </c>
      <c r="N26" s="753">
        <v>5</v>
      </c>
    </row>
    <row r="27" spans="1:18" ht="26.25" customHeight="1">
      <c r="A27" s="1157"/>
      <c r="B27" s="1379"/>
      <c r="C27" s="1716"/>
      <c r="D27" s="1717"/>
      <c r="E27" s="1718"/>
      <c r="F27" s="1198" t="s">
        <v>178</v>
      </c>
      <c r="G27" s="1410" t="s">
        <v>79</v>
      </c>
      <c r="H27" s="1118">
        <v>30</v>
      </c>
      <c r="I27" s="1118">
        <f>H27</f>
        <v>30</v>
      </c>
      <c r="J27" s="1118">
        <f>I27</f>
        <v>30</v>
      </c>
      <c r="K27" s="754" t="s">
        <v>612</v>
      </c>
      <c r="L27" s="752">
        <v>1</v>
      </c>
      <c r="M27" s="755"/>
      <c r="N27" s="756"/>
    </row>
    <row r="28" spans="1:18">
      <c r="A28" s="1157"/>
      <c r="B28" s="1379"/>
      <c r="C28" s="1716"/>
      <c r="D28" s="1717"/>
      <c r="E28" s="1718"/>
      <c r="F28" s="1381"/>
      <c r="G28" s="1121"/>
      <c r="H28" s="1440"/>
      <c r="I28" s="1440"/>
      <c r="J28" s="1440"/>
      <c r="K28" s="754" t="s">
        <v>398</v>
      </c>
      <c r="L28" s="752">
        <v>5</v>
      </c>
      <c r="M28" s="247">
        <v>5</v>
      </c>
      <c r="N28" s="319">
        <v>5</v>
      </c>
    </row>
    <row r="29" spans="1:18">
      <c r="A29" s="1157"/>
      <c r="B29" s="1379"/>
      <c r="C29" s="1716"/>
      <c r="D29" s="1717"/>
      <c r="E29" s="1718"/>
      <c r="F29" s="1199"/>
      <c r="G29" s="1122"/>
      <c r="H29" s="1108"/>
      <c r="I29" s="1108"/>
      <c r="J29" s="1108"/>
      <c r="K29" s="757" t="s">
        <v>400</v>
      </c>
      <c r="L29" s="745">
        <v>1.2</v>
      </c>
      <c r="M29" s="755">
        <v>1</v>
      </c>
      <c r="N29" s="756">
        <v>1</v>
      </c>
    </row>
    <row r="30" spans="1:18" ht="18" customHeight="1">
      <c r="A30" s="1157"/>
      <c r="B30" s="1379"/>
      <c r="C30" s="1716"/>
      <c r="D30" s="1717"/>
      <c r="E30" s="1718"/>
      <c r="F30" s="1198" t="s">
        <v>374</v>
      </c>
      <c r="G30" s="1410" t="s">
        <v>79</v>
      </c>
      <c r="H30" s="1118">
        <v>451</v>
      </c>
      <c r="I30" s="1413">
        <f>H30</f>
        <v>451</v>
      </c>
      <c r="J30" s="1736">
        <f>I30</f>
        <v>451</v>
      </c>
      <c r="K30" s="757" t="s">
        <v>711</v>
      </c>
      <c r="L30" s="752">
        <v>1</v>
      </c>
      <c r="M30" s="758">
        <v>1</v>
      </c>
      <c r="N30" s="753"/>
    </row>
    <row r="31" spans="1:18" ht="13.5" customHeight="1">
      <c r="A31" s="1157"/>
      <c r="B31" s="1379"/>
      <c r="C31" s="1716"/>
      <c r="D31" s="1717"/>
      <c r="E31" s="1718"/>
      <c r="F31" s="1683"/>
      <c r="G31" s="1708"/>
      <c r="H31" s="1706"/>
      <c r="I31" s="1707"/>
      <c r="J31" s="1737"/>
      <c r="K31" s="759" t="s">
        <v>256</v>
      </c>
      <c r="L31" s="752">
        <v>4</v>
      </c>
      <c r="M31" s="752">
        <v>4</v>
      </c>
      <c r="N31" s="753">
        <v>4</v>
      </c>
    </row>
    <row r="32" spans="1:18" ht="24.75" customHeight="1">
      <c r="A32" s="1157"/>
      <c r="B32" s="1379"/>
      <c r="C32" s="1716"/>
      <c r="D32" s="1717"/>
      <c r="E32" s="1718"/>
      <c r="F32" s="1683"/>
      <c r="G32" s="1708"/>
      <c r="H32" s="1706"/>
      <c r="I32" s="1707"/>
      <c r="J32" s="1737"/>
      <c r="K32" s="757" t="s">
        <v>698</v>
      </c>
      <c r="L32" s="752">
        <v>10</v>
      </c>
      <c r="M32" s="752">
        <v>10</v>
      </c>
      <c r="N32" s="753">
        <v>10</v>
      </c>
    </row>
    <row r="33" spans="1:14" ht="22.5">
      <c r="A33" s="1157"/>
      <c r="B33" s="1379"/>
      <c r="C33" s="1716"/>
      <c r="D33" s="1717"/>
      <c r="E33" s="1718"/>
      <c r="F33" s="1683"/>
      <c r="G33" s="1708"/>
      <c r="H33" s="1706"/>
      <c r="I33" s="1707"/>
      <c r="J33" s="1738"/>
      <c r="K33" s="754" t="s">
        <v>373</v>
      </c>
      <c r="L33" s="752">
        <v>1</v>
      </c>
      <c r="M33" s="752">
        <v>2</v>
      </c>
      <c r="N33" s="753">
        <v>2</v>
      </c>
    </row>
    <row r="34" spans="1:14" ht="21.75" customHeight="1">
      <c r="A34" s="1157"/>
      <c r="B34" s="1379"/>
      <c r="C34" s="1716"/>
      <c r="D34" s="1717"/>
      <c r="E34" s="1718"/>
      <c r="F34" s="1683"/>
      <c r="G34" s="1708"/>
      <c r="H34" s="1706"/>
      <c r="I34" s="1707"/>
      <c r="J34" s="1737"/>
      <c r="K34" s="751" t="s">
        <v>712</v>
      </c>
      <c r="L34" s="752">
        <v>1</v>
      </c>
      <c r="M34" s="752">
        <v>1</v>
      </c>
      <c r="N34" s="753">
        <v>1</v>
      </c>
    </row>
    <row r="35" spans="1:14">
      <c r="A35" s="1157"/>
      <c r="B35" s="1379"/>
      <c r="C35" s="1716"/>
      <c r="D35" s="1717"/>
      <c r="E35" s="1718"/>
      <c r="F35" s="1684"/>
      <c r="G35" s="1609"/>
      <c r="H35" s="1621"/>
      <c r="I35" s="1610"/>
      <c r="J35" s="1737"/>
      <c r="K35" s="751" t="s">
        <v>615</v>
      </c>
      <c r="L35" s="752">
        <v>1</v>
      </c>
      <c r="M35" s="745"/>
      <c r="N35" s="753">
        <v>1</v>
      </c>
    </row>
    <row r="36" spans="1:14">
      <c r="A36" s="1157"/>
      <c r="B36" s="1379"/>
      <c r="C36" s="1716"/>
      <c r="D36" s="1717"/>
      <c r="E36" s="1718"/>
      <c r="F36" s="1198" t="s">
        <v>124</v>
      </c>
      <c r="G36" s="1410" t="s">
        <v>79</v>
      </c>
      <c r="H36" s="1413">
        <v>40</v>
      </c>
      <c r="I36" s="1413">
        <v>30</v>
      </c>
      <c r="J36" s="1413">
        <v>30</v>
      </c>
      <c r="K36" s="754" t="s">
        <v>699</v>
      </c>
      <c r="L36" s="745">
        <v>60</v>
      </c>
      <c r="M36" s="752"/>
      <c r="N36" s="753"/>
    </row>
    <row r="37" spans="1:14">
      <c r="A37" s="1157"/>
      <c r="B37" s="1379"/>
      <c r="C37" s="1716"/>
      <c r="D37" s="1717"/>
      <c r="E37" s="1718"/>
      <c r="F37" s="1381"/>
      <c r="G37" s="1121"/>
      <c r="H37" s="1461"/>
      <c r="I37" s="1461"/>
      <c r="J37" s="1461"/>
      <c r="K37" s="754" t="s">
        <v>399</v>
      </c>
      <c r="L37" s="752">
        <v>1</v>
      </c>
      <c r="M37" s="752"/>
      <c r="N37" s="753"/>
    </row>
    <row r="38" spans="1:14">
      <c r="A38" s="1157"/>
      <c r="B38" s="1379"/>
      <c r="C38" s="1716"/>
      <c r="D38" s="1717"/>
      <c r="E38" s="1718"/>
      <c r="F38" s="1381"/>
      <c r="G38" s="1121"/>
      <c r="H38" s="1461"/>
      <c r="I38" s="1461"/>
      <c r="J38" s="1461"/>
      <c r="K38" s="754" t="s">
        <v>609</v>
      </c>
      <c r="L38" s="752">
        <v>1</v>
      </c>
      <c r="M38" s="752"/>
      <c r="N38" s="753"/>
    </row>
    <row r="39" spans="1:14">
      <c r="A39" s="1157"/>
      <c r="B39" s="1379"/>
      <c r="C39" s="1716"/>
      <c r="D39" s="1717"/>
      <c r="E39" s="1718"/>
      <c r="F39" s="1381"/>
      <c r="G39" s="1121"/>
      <c r="H39" s="1461"/>
      <c r="I39" s="1461"/>
      <c r="J39" s="1461"/>
      <c r="K39" s="754" t="s">
        <v>613</v>
      </c>
      <c r="L39" s="752">
        <v>1</v>
      </c>
      <c r="M39" s="752"/>
      <c r="N39" s="753"/>
    </row>
    <row r="40" spans="1:14" ht="22.5">
      <c r="A40" s="1157"/>
      <c r="B40" s="1379"/>
      <c r="C40" s="1716"/>
      <c r="D40" s="1717"/>
      <c r="E40" s="1718"/>
      <c r="F40" s="1381"/>
      <c r="G40" s="1121"/>
      <c r="H40" s="1461"/>
      <c r="I40" s="1461"/>
      <c r="J40" s="1461"/>
      <c r="K40" s="754" t="s">
        <v>614</v>
      </c>
      <c r="L40" s="752">
        <v>7</v>
      </c>
      <c r="M40" s="752"/>
      <c r="N40" s="753"/>
    </row>
    <row r="41" spans="1:14">
      <c r="A41" s="1157"/>
      <c r="B41" s="1379"/>
      <c r="C41" s="1716"/>
      <c r="D41" s="1717"/>
      <c r="E41" s="1718"/>
      <c r="F41" s="1381"/>
      <c r="G41" s="1121"/>
      <c r="H41" s="1461"/>
      <c r="I41" s="1461"/>
      <c r="J41" s="1461"/>
      <c r="K41" s="754" t="s">
        <v>401</v>
      </c>
      <c r="L41" s="745">
        <v>24</v>
      </c>
      <c r="M41" s="745">
        <v>20</v>
      </c>
      <c r="N41" s="746">
        <v>20</v>
      </c>
    </row>
    <row r="42" spans="1:14">
      <c r="A42" s="1157"/>
      <c r="B42" s="1379"/>
      <c r="C42" s="1716"/>
      <c r="D42" s="1717"/>
      <c r="E42" s="1718"/>
      <c r="F42" s="1381"/>
      <c r="G42" s="1121"/>
      <c r="H42" s="1461"/>
      <c r="I42" s="1461"/>
      <c r="J42" s="1461"/>
      <c r="K42" s="754" t="s">
        <v>713</v>
      </c>
      <c r="L42" s="745">
        <v>15</v>
      </c>
      <c r="M42" s="745">
        <v>35</v>
      </c>
      <c r="N42" s="746">
        <v>35</v>
      </c>
    </row>
    <row r="43" spans="1:14">
      <c r="A43" s="1157"/>
      <c r="B43" s="1379"/>
      <c r="C43" s="1716"/>
      <c r="D43" s="1717"/>
      <c r="E43" s="1718"/>
      <c r="F43" s="1198" t="s">
        <v>125</v>
      </c>
      <c r="G43" s="1410" t="s">
        <v>79</v>
      </c>
      <c r="H43" s="1118">
        <v>30</v>
      </c>
      <c r="I43" s="1118">
        <f>H43</f>
        <v>30</v>
      </c>
      <c r="J43" s="1118">
        <f>I43</f>
        <v>30</v>
      </c>
      <c r="K43" s="744" t="s">
        <v>398</v>
      </c>
      <c r="L43" s="752">
        <f>7+16</f>
        <v>23</v>
      </c>
      <c r="M43" s="752">
        <v>20</v>
      </c>
      <c r="N43" s="753">
        <v>20</v>
      </c>
    </row>
    <row r="44" spans="1:14">
      <c r="A44" s="1157"/>
      <c r="B44" s="1379"/>
      <c r="C44" s="1716"/>
      <c r="D44" s="1717"/>
      <c r="E44" s="1718"/>
      <c r="F44" s="1381"/>
      <c r="G44" s="1121"/>
      <c r="H44" s="1440"/>
      <c r="I44" s="1440"/>
      <c r="J44" s="1440"/>
      <c r="K44" s="754" t="s">
        <v>714</v>
      </c>
      <c r="L44" s="752">
        <v>1</v>
      </c>
      <c r="M44" s="752"/>
      <c r="N44" s="753"/>
    </row>
    <row r="45" spans="1:14">
      <c r="A45" s="1157"/>
      <c r="B45" s="1379"/>
      <c r="C45" s="1716"/>
      <c r="D45" s="1717"/>
      <c r="E45" s="1718"/>
      <c r="F45" s="1198" t="s">
        <v>128</v>
      </c>
      <c r="G45" s="1410" t="s">
        <v>79</v>
      </c>
      <c r="H45" s="1118">
        <v>40</v>
      </c>
      <c r="I45" s="1704">
        <v>30</v>
      </c>
      <c r="J45" s="1704">
        <v>30</v>
      </c>
      <c r="K45" s="744" t="s">
        <v>617</v>
      </c>
      <c r="L45" s="745">
        <v>180</v>
      </c>
      <c r="M45" s="745">
        <v>100</v>
      </c>
      <c r="N45" s="746">
        <v>100</v>
      </c>
    </row>
    <row r="46" spans="1:14">
      <c r="A46" s="1157"/>
      <c r="B46" s="1379"/>
      <c r="C46" s="1716"/>
      <c r="D46" s="1717"/>
      <c r="E46" s="1718"/>
      <c r="F46" s="1381"/>
      <c r="G46" s="1121"/>
      <c r="H46" s="1440"/>
      <c r="I46" s="1705"/>
      <c r="J46" s="1705"/>
      <c r="K46" s="744" t="s">
        <v>399</v>
      </c>
      <c r="L46" s="752">
        <v>1</v>
      </c>
      <c r="M46" s="752"/>
      <c r="N46" s="753"/>
    </row>
    <row r="47" spans="1:14">
      <c r="A47" s="1157"/>
      <c r="B47" s="1379"/>
      <c r="C47" s="1716"/>
      <c r="D47" s="1717"/>
      <c r="E47" s="1718"/>
      <c r="F47" s="1381"/>
      <c r="G47" s="1121"/>
      <c r="H47" s="1440"/>
      <c r="I47" s="1705"/>
      <c r="J47" s="1705"/>
      <c r="K47" s="744" t="s">
        <v>715</v>
      </c>
      <c r="L47" s="752">
        <v>2</v>
      </c>
      <c r="M47" s="752"/>
      <c r="N47" s="753"/>
    </row>
    <row r="48" spans="1:14">
      <c r="A48" s="1157"/>
      <c r="B48" s="1379"/>
      <c r="C48" s="1716"/>
      <c r="D48" s="1717"/>
      <c r="E48" s="1718"/>
      <c r="F48" s="1381"/>
      <c r="G48" s="1121"/>
      <c r="H48" s="1440"/>
      <c r="I48" s="1705"/>
      <c r="J48" s="1705"/>
      <c r="K48" s="744" t="s">
        <v>716</v>
      </c>
      <c r="L48" s="900">
        <v>250</v>
      </c>
      <c r="M48" s="900">
        <v>100</v>
      </c>
      <c r="N48" s="746">
        <v>100</v>
      </c>
    </row>
    <row r="49" spans="1:14" ht="22.5">
      <c r="A49" s="1157"/>
      <c r="B49" s="1379"/>
      <c r="C49" s="1716"/>
      <c r="D49" s="1717"/>
      <c r="E49" s="1718"/>
      <c r="F49" s="760" t="s">
        <v>126</v>
      </c>
      <c r="G49" s="670" t="s">
        <v>79</v>
      </c>
      <c r="H49" s="932">
        <v>30</v>
      </c>
      <c r="I49" s="460">
        <f>H49</f>
        <v>30</v>
      </c>
      <c r="J49" s="460">
        <f>I49</f>
        <v>30</v>
      </c>
      <c r="K49" s="757" t="s">
        <v>616</v>
      </c>
      <c r="L49" s="761">
        <v>2</v>
      </c>
      <c r="M49" s="761">
        <v>2</v>
      </c>
      <c r="N49" s="753">
        <v>2</v>
      </c>
    </row>
    <row r="50" spans="1:14" ht="10.5" customHeight="1">
      <c r="A50" s="1157"/>
      <c r="B50" s="1379"/>
      <c r="C50" s="1716"/>
      <c r="D50" s="1717"/>
      <c r="E50" s="1718"/>
      <c r="F50" s="1198" t="s">
        <v>123</v>
      </c>
      <c r="G50" s="1410" t="s">
        <v>79</v>
      </c>
      <c r="H50" s="1118">
        <v>30</v>
      </c>
      <c r="I50" s="1118">
        <f>H50</f>
        <v>30</v>
      </c>
      <c r="J50" s="1118">
        <f>I50</f>
        <v>30</v>
      </c>
      <c r="K50" s="762" t="s">
        <v>618</v>
      </c>
      <c r="L50" s="752">
        <v>1</v>
      </c>
      <c r="M50" s="752"/>
      <c r="N50" s="753"/>
    </row>
    <row r="51" spans="1:14" ht="10.5" customHeight="1">
      <c r="A51" s="1157"/>
      <c r="B51" s="1379"/>
      <c r="C51" s="1716"/>
      <c r="D51" s="1717"/>
      <c r="E51" s="1718"/>
      <c r="F51" s="1381"/>
      <c r="G51" s="1121"/>
      <c r="H51" s="1440"/>
      <c r="I51" s="1440"/>
      <c r="J51" s="1440"/>
      <c r="K51" s="763" t="s">
        <v>717</v>
      </c>
      <c r="L51" s="764">
        <f>22+5</f>
        <v>27</v>
      </c>
      <c r="M51" s="764">
        <v>20</v>
      </c>
      <c r="N51" s="765">
        <v>20</v>
      </c>
    </row>
    <row r="52" spans="1:14" ht="13.5" customHeight="1">
      <c r="A52" s="1157"/>
      <c r="B52" s="1379"/>
      <c r="C52" s="1716"/>
      <c r="D52" s="1717"/>
      <c r="E52" s="1718"/>
      <c r="F52" s="1198" t="s">
        <v>127</v>
      </c>
      <c r="G52" s="1410" t="s">
        <v>79</v>
      </c>
      <c r="H52" s="1118">
        <v>41</v>
      </c>
      <c r="I52" s="1118">
        <v>30</v>
      </c>
      <c r="J52" s="1118">
        <v>30</v>
      </c>
      <c r="K52" s="766" t="s">
        <v>619</v>
      </c>
      <c r="L52" s="764">
        <v>1</v>
      </c>
      <c r="M52" s="764"/>
      <c r="N52" s="765"/>
    </row>
    <row r="53" spans="1:14" ht="13.5" customHeight="1">
      <c r="A53" s="1157"/>
      <c r="B53" s="1379"/>
      <c r="C53" s="1716"/>
      <c r="D53" s="1717"/>
      <c r="E53" s="1718"/>
      <c r="F53" s="1381"/>
      <c r="G53" s="1121"/>
      <c r="H53" s="1440"/>
      <c r="I53" s="1440"/>
      <c r="J53" s="1440"/>
      <c r="K53" s="766" t="s">
        <v>718</v>
      </c>
      <c r="L53" s="767">
        <v>420</v>
      </c>
      <c r="M53" s="767">
        <v>200</v>
      </c>
      <c r="N53" s="768">
        <v>200</v>
      </c>
    </row>
    <row r="54" spans="1:14" ht="13.5" customHeight="1" thickBot="1">
      <c r="A54" s="1157"/>
      <c r="B54" s="1379"/>
      <c r="C54" s="1716"/>
      <c r="D54" s="1717"/>
      <c r="E54" s="1718"/>
      <c r="F54" s="1381"/>
      <c r="G54" s="1121"/>
      <c r="H54" s="1440"/>
      <c r="I54" s="1440"/>
      <c r="J54" s="1440"/>
      <c r="K54" s="766" t="s">
        <v>700</v>
      </c>
      <c r="L54" s="764">
        <v>1</v>
      </c>
      <c r="M54" s="764"/>
      <c r="N54" s="765"/>
    </row>
    <row r="55" spans="1:14" ht="13.5" thickBot="1">
      <c r="A55" s="1157"/>
      <c r="B55" s="1379"/>
      <c r="C55" s="1386" t="s">
        <v>76</v>
      </c>
      <c r="D55" s="1670"/>
      <c r="E55" s="1670"/>
      <c r="F55" s="1670"/>
      <c r="G55" s="1670"/>
      <c r="H55" s="320">
        <f>SUM(H21:H54)</f>
        <v>743.2</v>
      </c>
      <c r="I55" s="321">
        <f>SUM(I21:I54)</f>
        <v>712.2</v>
      </c>
      <c r="J55" s="321">
        <f>SUM(J21:J54)</f>
        <v>712.2</v>
      </c>
      <c r="K55" s="227"/>
      <c r="L55" s="102"/>
      <c r="M55" s="102"/>
      <c r="N55" s="127"/>
    </row>
    <row r="56" spans="1:14" ht="12" customHeight="1" thickBot="1">
      <c r="A56" s="1157"/>
      <c r="B56" s="1259" t="s">
        <v>77</v>
      </c>
      <c r="C56" s="1315"/>
      <c r="D56" s="1315"/>
      <c r="E56" s="1315"/>
      <c r="F56" s="1315"/>
      <c r="G56" s="1315"/>
      <c r="H56" s="356">
        <f>H55+H20+H10</f>
        <v>3000.1000000000004</v>
      </c>
      <c r="I56" s="357">
        <f>I55+I20+I10</f>
        <v>2982.6414</v>
      </c>
      <c r="J56" s="357">
        <f>J55+J20+J10</f>
        <v>2996.2640484000003</v>
      </c>
      <c r="K56" s="95"/>
      <c r="L56" s="162"/>
      <c r="M56" s="162"/>
      <c r="N56" s="130"/>
    </row>
    <row r="57" spans="1:14" ht="26.45" customHeight="1" thickBot="1">
      <c r="A57" s="1157"/>
      <c r="B57" s="1352" t="s">
        <v>659</v>
      </c>
      <c r="C57" s="1330" t="s">
        <v>34</v>
      </c>
      <c r="D57" s="1343"/>
      <c r="E57" s="1344"/>
      <c r="F57" s="295" t="s">
        <v>112</v>
      </c>
      <c r="G57" s="258" t="s">
        <v>113</v>
      </c>
      <c r="H57" s="1000">
        <v>7.5</v>
      </c>
      <c r="I57" s="1009">
        <v>100</v>
      </c>
      <c r="J57" s="1009">
        <v>30</v>
      </c>
      <c r="K57" s="707" t="s">
        <v>739</v>
      </c>
      <c r="L57" s="1047">
        <v>79.89</v>
      </c>
      <c r="M57" s="1047">
        <v>79.89</v>
      </c>
      <c r="N57" s="1048">
        <v>79.89</v>
      </c>
    </row>
    <row r="58" spans="1:14" ht="13.5" thickBot="1">
      <c r="A58" s="1157"/>
      <c r="B58" s="1379"/>
      <c r="C58" s="1712" t="s">
        <v>76</v>
      </c>
      <c r="D58" s="1710"/>
      <c r="E58" s="1710"/>
      <c r="F58" s="1710"/>
      <c r="G58" s="1711"/>
      <c r="H58" s="1028">
        <f>SUM(H57:H57)</f>
        <v>7.5</v>
      </c>
      <c r="I58" s="1029">
        <f>SUM(I57:I57)</f>
        <v>100</v>
      </c>
      <c r="J58" s="1029">
        <f>SUM(J57:J57)</f>
        <v>30</v>
      </c>
      <c r="K58" s="179"/>
      <c r="L58" s="365"/>
      <c r="M58" s="365"/>
      <c r="N58" s="259"/>
    </row>
    <row r="59" spans="1:14" s="185" customFormat="1" ht="24.6" customHeight="1" thickBot="1">
      <c r="A59" s="1157"/>
      <c r="B59" s="1379"/>
      <c r="C59" s="1330" t="s">
        <v>179</v>
      </c>
      <c r="D59" s="1343"/>
      <c r="E59" s="1344"/>
      <c r="F59" s="295" t="s">
        <v>112</v>
      </c>
      <c r="G59" s="258" t="s">
        <v>113</v>
      </c>
      <c r="H59" s="296">
        <v>195.1</v>
      </c>
      <c r="I59" s="369">
        <v>30</v>
      </c>
      <c r="J59" s="369">
        <v>80</v>
      </c>
      <c r="K59" s="179" t="s">
        <v>740</v>
      </c>
      <c r="L59" s="1026">
        <v>60.29</v>
      </c>
      <c r="M59" s="1026">
        <v>60.29</v>
      </c>
      <c r="N59" s="1027">
        <v>60.29</v>
      </c>
    </row>
    <row r="60" spans="1:14" ht="13.5" thickBot="1">
      <c r="A60" s="1157"/>
      <c r="B60" s="1379"/>
      <c r="C60" s="1712" t="s">
        <v>76</v>
      </c>
      <c r="D60" s="1710"/>
      <c r="E60" s="1710"/>
      <c r="F60" s="1710"/>
      <c r="G60" s="1711"/>
      <c r="H60" s="1028">
        <f>SUM(H59:H59)</f>
        <v>195.1</v>
      </c>
      <c r="I60" s="1029">
        <f>SUM(I59:I59)</f>
        <v>30</v>
      </c>
      <c r="J60" s="1029">
        <f>SUM(J59:J59)</f>
        <v>80</v>
      </c>
      <c r="K60" s="369"/>
      <c r="L60" s="1026"/>
      <c r="M60" s="1026"/>
      <c r="N60" s="1027"/>
    </row>
    <row r="61" spans="1:14" ht="24" customHeight="1" thickBot="1">
      <c r="A61" s="1157"/>
      <c r="B61" s="1379"/>
      <c r="C61" s="1090" t="s">
        <v>10</v>
      </c>
      <c r="D61" s="1139"/>
      <c r="E61" s="1140"/>
      <c r="F61" s="317" t="s">
        <v>112</v>
      </c>
      <c r="G61" s="961" t="s">
        <v>113</v>
      </c>
      <c r="H61" s="962">
        <v>30</v>
      </c>
      <c r="I61" s="984">
        <f>H61*1.1</f>
        <v>33</v>
      </c>
      <c r="J61" s="984">
        <f>I61*1.1</f>
        <v>36.300000000000004</v>
      </c>
      <c r="K61" s="980" t="s">
        <v>741</v>
      </c>
      <c r="L61" s="1030">
        <v>53.72</v>
      </c>
      <c r="M61" s="1030">
        <v>53.72</v>
      </c>
      <c r="N61" s="1031">
        <v>53.72</v>
      </c>
    </row>
    <row r="62" spans="1:14" ht="13.5" thickBot="1">
      <c r="A62" s="1157"/>
      <c r="B62" s="1379"/>
      <c r="C62" s="1709" t="s">
        <v>76</v>
      </c>
      <c r="D62" s="1710"/>
      <c r="E62" s="1710"/>
      <c r="F62" s="1710"/>
      <c r="G62" s="1711"/>
      <c r="H62" s="1028">
        <f>SUM(H61:H61)</f>
        <v>30</v>
      </c>
      <c r="I62" s="1029">
        <f>SUM(I61:I61)</f>
        <v>33</v>
      </c>
      <c r="J62" s="1029">
        <f>SUM(J61:J61)</f>
        <v>36.300000000000004</v>
      </c>
      <c r="K62" s="369"/>
      <c r="L62" s="1026"/>
      <c r="M62" s="1026"/>
      <c r="N62" s="1027"/>
    </row>
    <row r="63" spans="1:14" s="185" customFormat="1" ht="23.45" customHeight="1" thickBot="1">
      <c r="A63" s="1157"/>
      <c r="B63" s="1379"/>
      <c r="C63" s="1141" t="s">
        <v>11</v>
      </c>
      <c r="D63" s="1142"/>
      <c r="E63" s="1143"/>
      <c r="F63" s="985" t="s">
        <v>112</v>
      </c>
      <c r="G63" s="970" t="s">
        <v>113</v>
      </c>
      <c r="H63" s="967">
        <v>195.3</v>
      </c>
      <c r="I63" s="1002">
        <v>30</v>
      </c>
      <c r="J63" s="1002">
        <v>100</v>
      </c>
      <c r="K63" s="306" t="s">
        <v>237</v>
      </c>
      <c r="L63" s="971">
        <v>94.08</v>
      </c>
      <c r="M63" s="971">
        <v>94.08</v>
      </c>
      <c r="N63" s="1032">
        <v>94.08</v>
      </c>
    </row>
    <row r="64" spans="1:14" ht="13.5" thickBot="1">
      <c r="A64" s="1157"/>
      <c r="B64" s="1379"/>
      <c r="C64" s="1709" t="s">
        <v>76</v>
      </c>
      <c r="D64" s="1710"/>
      <c r="E64" s="1710"/>
      <c r="F64" s="1710"/>
      <c r="G64" s="1711"/>
      <c r="H64" s="1028">
        <f>SUM(H63:H63)</f>
        <v>195.3</v>
      </c>
      <c r="I64" s="1029">
        <f>SUM(I63:I63)</f>
        <v>30</v>
      </c>
      <c r="J64" s="1029">
        <f>SUM(J63:J63)</f>
        <v>100</v>
      </c>
      <c r="K64" s="369"/>
      <c r="L64" s="1026"/>
      <c r="M64" s="1026"/>
      <c r="N64" s="1027"/>
    </row>
    <row r="65" spans="1:18" ht="22.15" customHeight="1" thickBot="1">
      <c r="A65" s="1157"/>
      <c r="B65" s="1379"/>
      <c r="C65" s="1330" t="s">
        <v>12</v>
      </c>
      <c r="D65" s="1343"/>
      <c r="E65" s="1344"/>
      <c r="F65" s="295" t="s">
        <v>112</v>
      </c>
      <c r="G65" s="258" t="s">
        <v>113</v>
      </c>
      <c r="H65" s="296">
        <v>5</v>
      </c>
      <c r="I65" s="369">
        <v>80</v>
      </c>
      <c r="J65" s="369">
        <f>I65*1.1</f>
        <v>88</v>
      </c>
      <c r="K65" s="179" t="s">
        <v>238</v>
      </c>
      <c r="L65" s="1026">
        <v>34.909999999999997</v>
      </c>
      <c r="M65" s="1026">
        <v>34.909999999999997</v>
      </c>
      <c r="N65" s="1027">
        <v>34.909999999999997</v>
      </c>
    </row>
    <row r="66" spans="1:18" ht="13.5" thickBot="1">
      <c r="A66" s="1157"/>
      <c r="B66" s="1379"/>
      <c r="C66" s="1709" t="s">
        <v>76</v>
      </c>
      <c r="D66" s="1710"/>
      <c r="E66" s="1710"/>
      <c r="F66" s="1710"/>
      <c r="G66" s="1711"/>
      <c r="H66" s="1028">
        <f>SUM(H65:H65)</f>
        <v>5</v>
      </c>
      <c r="I66" s="1029">
        <f>SUM(I65:I65)</f>
        <v>80</v>
      </c>
      <c r="J66" s="1029">
        <f>SUM(J65:J65)</f>
        <v>88</v>
      </c>
      <c r="K66" s="369"/>
      <c r="L66" s="1026"/>
      <c r="M66" s="1026"/>
      <c r="N66" s="1027"/>
    </row>
    <row r="67" spans="1:18" ht="22.5" customHeight="1" thickBot="1">
      <c r="A67" s="1157"/>
      <c r="B67" s="1379"/>
      <c r="C67" s="1330" t="s">
        <v>13</v>
      </c>
      <c r="D67" s="1672"/>
      <c r="E67" s="1673"/>
      <c r="F67" s="257" t="s">
        <v>112</v>
      </c>
      <c r="G67" s="258" t="s">
        <v>113</v>
      </c>
      <c r="H67" s="296">
        <v>5</v>
      </c>
      <c r="I67" s="369">
        <v>80</v>
      </c>
      <c r="J67" s="369">
        <v>30</v>
      </c>
      <c r="K67" s="179" t="s">
        <v>239</v>
      </c>
      <c r="L67" s="1026">
        <v>118.41</v>
      </c>
      <c r="M67" s="1026">
        <v>118.41</v>
      </c>
      <c r="N67" s="1027">
        <v>118.41</v>
      </c>
    </row>
    <row r="68" spans="1:18" ht="13.5" thickBot="1">
      <c r="A68" s="1157"/>
      <c r="B68" s="1379"/>
      <c r="C68" s="1712" t="s">
        <v>76</v>
      </c>
      <c r="D68" s="1710"/>
      <c r="E68" s="1710"/>
      <c r="F68" s="1710"/>
      <c r="G68" s="1711"/>
      <c r="H68" s="1028">
        <f>SUM(H67:H67)</f>
        <v>5</v>
      </c>
      <c r="I68" s="1029">
        <f>SUM(I67:I67)</f>
        <v>80</v>
      </c>
      <c r="J68" s="1029">
        <f>SUM(J67:J67)</f>
        <v>30</v>
      </c>
      <c r="K68" s="179"/>
      <c r="L68" s="365"/>
      <c r="M68" s="365"/>
      <c r="N68" s="259"/>
    </row>
    <row r="69" spans="1:18" ht="25.9" customHeight="1" thickBot="1">
      <c r="A69" s="1157"/>
      <c r="B69" s="1379"/>
      <c r="C69" s="1330" t="s">
        <v>14</v>
      </c>
      <c r="D69" s="1343"/>
      <c r="E69" s="1344"/>
      <c r="F69" s="295" t="s">
        <v>112</v>
      </c>
      <c r="G69" s="258" t="s">
        <v>113</v>
      </c>
      <c r="H69" s="296">
        <v>170.6</v>
      </c>
      <c r="I69" s="369">
        <f>H69*1.1</f>
        <v>187.66</v>
      </c>
      <c r="J69" s="369">
        <v>30</v>
      </c>
      <c r="K69" s="179" t="s">
        <v>240</v>
      </c>
      <c r="L69" s="1026">
        <v>153.88999999999999</v>
      </c>
      <c r="M69" s="1026">
        <v>153.88999999999999</v>
      </c>
      <c r="N69" s="1027">
        <v>153.88999999999999</v>
      </c>
    </row>
    <row r="70" spans="1:18" s="185" customFormat="1" ht="13.5" thickBot="1">
      <c r="A70" s="1157"/>
      <c r="B70" s="1379"/>
      <c r="C70" s="1712" t="s">
        <v>76</v>
      </c>
      <c r="D70" s="1710"/>
      <c r="E70" s="1710"/>
      <c r="F70" s="1710"/>
      <c r="G70" s="1711"/>
      <c r="H70" s="1028">
        <f>SUM(H69:H69)</f>
        <v>170.6</v>
      </c>
      <c r="I70" s="1029">
        <f>SUM(I69:I69)</f>
        <v>187.66</v>
      </c>
      <c r="J70" s="1029">
        <f>SUM(J69:J69)</f>
        <v>30</v>
      </c>
      <c r="K70" s="179"/>
      <c r="L70" s="365"/>
      <c r="M70" s="365"/>
      <c r="N70" s="259"/>
    </row>
    <row r="71" spans="1:18" ht="22.15" customHeight="1" thickBot="1">
      <c r="A71" s="1157"/>
      <c r="B71" s="1379"/>
      <c r="C71" s="1330" t="s">
        <v>15</v>
      </c>
      <c r="D71" s="1343"/>
      <c r="E71" s="1344"/>
      <c r="F71" s="295" t="s">
        <v>112</v>
      </c>
      <c r="G71" s="258" t="s">
        <v>113</v>
      </c>
      <c r="H71" s="296">
        <v>84.8</v>
      </c>
      <c r="I71" s="369">
        <v>30</v>
      </c>
      <c r="J71" s="369">
        <v>50</v>
      </c>
      <c r="K71" s="179" t="s">
        <v>241</v>
      </c>
      <c r="L71" s="1026">
        <v>63.47</v>
      </c>
      <c r="M71" s="1026">
        <v>63.47</v>
      </c>
      <c r="N71" s="1027">
        <v>63.47</v>
      </c>
    </row>
    <row r="72" spans="1:18" ht="13.5" thickBot="1">
      <c r="A72" s="1157"/>
      <c r="B72" s="1379"/>
      <c r="C72" s="1712" t="s">
        <v>76</v>
      </c>
      <c r="D72" s="1710"/>
      <c r="E72" s="1710"/>
      <c r="F72" s="1710"/>
      <c r="G72" s="1711"/>
      <c r="H72" s="1028">
        <f>SUM(H71:H71)</f>
        <v>84.8</v>
      </c>
      <c r="I72" s="1029">
        <f>SUM(I71:I71)</f>
        <v>30</v>
      </c>
      <c r="J72" s="1029">
        <f>SUM(J71:J71)</f>
        <v>50</v>
      </c>
      <c r="K72" s="179"/>
      <c r="L72" s="365"/>
      <c r="M72" s="365"/>
      <c r="N72" s="259"/>
    </row>
    <row r="73" spans="1:18" s="185" customFormat="1" ht="24" customHeight="1" thickBot="1">
      <c r="A73" s="1157"/>
      <c r="B73" s="1379"/>
      <c r="C73" s="1330" t="s">
        <v>254</v>
      </c>
      <c r="D73" s="1343"/>
      <c r="E73" s="1344"/>
      <c r="F73" s="295" t="s">
        <v>112</v>
      </c>
      <c r="G73" s="258" t="s">
        <v>113</v>
      </c>
      <c r="H73" s="296">
        <v>27.3</v>
      </c>
      <c r="I73" s="296">
        <v>80</v>
      </c>
      <c r="J73" s="296">
        <v>20</v>
      </c>
      <c r="K73" s="179" t="s">
        <v>242</v>
      </c>
      <c r="L73" s="1026">
        <v>133.9</v>
      </c>
      <c r="M73" s="1026">
        <v>133.9</v>
      </c>
      <c r="N73" s="1027">
        <v>133.9</v>
      </c>
    </row>
    <row r="74" spans="1:18" ht="13.5" thickBot="1">
      <c r="A74" s="1157"/>
      <c r="B74" s="1379"/>
      <c r="C74" s="1712" t="s">
        <v>76</v>
      </c>
      <c r="D74" s="1710"/>
      <c r="E74" s="1710"/>
      <c r="F74" s="1710"/>
      <c r="G74" s="1711"/>
      <c r="H74" s="1028">
        <f>SUM(H73:H73)</f>
        <v>27.3</v>
      </c>
      <c r="I74" s="1033">
        <f>SUM(I73:I73)</f>
        <v>80</v>
      </c>
      <c r="J74" s="1033">
        <f>SUM(J73:J73)</f>
        <v>20</v>
      </c>
      <c r="K74" s="179"/>
      <c r="L74" s="365"/>
      <c r="M74" s="365"/>
      <c r="N74" s="259"/>
    </row>
    <row r="75" spans="1:18" ht="36" customHeight="1" thickBot="1">
      <c r="A75" s="1157"/>
      <c r="B75" s="1379"/>
      <c r="C75" s="1139" t="s">
        <v>621</v>
      </c>
      <c r="D75" s="1740"/>
      <c r="E75" s="1741"/>
      <c r="F75" s="771" t="s">
        <v>112</v>
      </c>
      <c r="G75" s="986" t="s">
        <v>79</v>
      </c>
      <c r="H75" s="991">
        <v>60</v>
      </c>
      <c r="I75" s="991">
        <v>80</v>
      </c>
      <c r="J75" s="991">
        <v>80</v>
      </c>
      <c r="K75" s="994" t="s">
        <v>719</v>
      </c>
      <c r="L75" s="424">
        <v>6</v>
      </c>
      <c r="M75" s="424">
        <v>8</v>
      </c>
      <c r="N75" s="425">
        <v>8</v>
      </c>
      <c r="R75" s="226">
        <v>2</v>
      </c>
    </row>
    <row r="76" spans="1:18" s="185" customFormat="1" ht="13.5" thickBot="1">
      <c r="A76" s="1157"/>
      <c r="B76" s="1379"/>
      <c r="C76" s="1712" t="s">
        <v>76</v>
      </c>
      <c r="D76" s="1739"/>
      <c r="E76" s="1739"/>
      <c r="F76" s="1739"/>
      <c r="G76" s="1739"/>
      <c r="H76" s="1034">
        <f>H75</f>
        <v>60</v>
      </c>
      <c r="I76" s="1035">
        <f>I75</f>
        <v>80</v>
      </c>
      <c r="J76" s="1035">
        <f>J75</f>
        <v>80</v>
      </c>
      <c r="K76" s="179"/>
      <c r="L76" s="365"/>
      <c r="M76" s="365"/>
      <c r="N76" s="259"/>
    </row>
    <row r="77" spans="1:18" ht="47.25" customHeight="1" thickBot="1">
      <c r="A77" s="1157"/>
      <c r="B77" s="1379"/>
      <c r="C77" s="1343" t="s">
        <v>255</v>
      </c>
      <c r="D77" s="1749"/>
      <c r="E77" s="1750"/>
      <c r="F77" s="295" t="s">
        <v>112</v>
      </c>
      <c r="G77" s="258" t="s">
        <v>79</v>
      </c>
      <c r="H77" s="296">
        <v>40</v>
      </c>
      <c r="I77" s="296">
        <f>H77</f>
        <v>40</v>
      </c>
      <c r="J77" s="296">
        <f>I77</f>
        <v>40</v>
      </c>
      <c r="K77" s="741" t="s">
        <v>720</v>
      </c>
      <c r="L77" s="365">
        <v>32</v>
      </c>
      <c r="M77" s="365">
        <v>32</v>
      </c>
      <c r="N77" s="259">
        <v>32</v>
      </c>
      <c r="R77" s="226">
        <v>2</v>
      </c>
    </row>
    <row r="78" spans="1:18" ht="13.5" thickBot="1">
      <c r="A78" s="1157"/>
      <c r="B78" s="1379"/>
      <c r="C78" s="1709" t="s">
        <v>76</v>
      </c>
      <c r="D78" s="1739"/>
      <c r="E78" s="1739"/>
      <c r="F78" s="1739"/>
      <c r="G78" s="1742"/>
      <c r="H78" s="1028">
        <f>SUM(H77:H77)</f>
        <v>40</v>
      </c>
      <c r="I78" s="1033">
        <f>SUM(I77:I77)</f>
        <v>40</v>
      </c>
      <c r="J78" s="1033">
        <f>SUM(J77:J77)</f>
        <v>40</v>
      </c>
      <c r="K78" s="179"/>
      <c r="L78" s="365"/>
      <c r="M78" s="365"/>
      <c r="N78" s="259"/>
    </row>
    <row r="79" spans="1:18" s="185" customFormat="1" ht="22.5">
      <c r="A79" s="1157"/>
      <c r="B79" s="1379"/>
      <c r="C79" s="1142" t="s">
        <v>758</v>
      </c>
      <c r="D79" s="1142"/>
      <c r="E79" s="1143"/>
      <c r="F79" s="985" t="s">
        <v>112</v>
      </c>
      <c r="G79" s="970" t="s">
        <v>79</v>
      </c>
      <c r="H79" s="1036">
        <v>30</v>
      </c>
      <c r="I79" s="1037">
        <v>50.6</v>
      </c>
      <c r="J79" s="967">
        <v>67.5</v>
      </c>
      <c r="K79" s="255" t="s">
        <v>367</v>
      </c>
      <c r="L79" s="241">
        <v>0</v>
      </c>
      <c r="M79" s="241">
        <v>1</v>
      </c>
      <c r="N79" s="975">
        <v>3</v>
      </c>
      <c r="R79" s="185">
        <v>2</v>
      </c>
    </row>
    <row r="80" spans="1:18" ht="15" customHeight="1" thickBot="1">
      <c r="A80" s="1157"/>
      <c r="B80" s="1379"/>
      <c r="C80" s="1426"/>
      <c r="D80" s="1426"/>
      <c r="E80" s="1427"/>
      <c r="F80" s="318" t="s">
        <v>112</v>
      </c>
      <c r="G80" s="982" t="s">
        <v>98</v>
      </c>
      <c r="H80" s="1038">
        <v>0</v>
      </c>
      <c r="I80" s="981">
        <v>286.7</v>
      </c>
      <c r="J80" s="981">
        <v>382.4</v>
      </c>
      <c r="K80" s="781" t="s">
        <v>346</v>
      </c>
      <c r="L80" s="772">
        <v>0</v>
      </c>
      <c r="M80" s="772">
        <v>30</v>
      </c>
      <c r="N80" s="240">
        <v>70</v>
      </c>
    </row>
    <row r="81" spans="1:18" ht="13.5" thickBot="1">
      <c r="A81" s="1157"/>
      <c r="B81" s="1379"/>
      <c r="C81" s="1712" t="s">
        <v>76</v>
      </c>
      <c r="D81" s="1710"/>
      <c r="E81" s="1710"/>
      <c r="F81" s="1710"/>
      <c r="G81" s="1711"/>
      <c r="H81" s="1028">
        <f>SUM(H79:H80)</f>
        <v>30</v>
      </c>
      <c r="I81" s="1033">
        <f>SUM(I79:I80)</f>
        <v>337.3</v>
      </c>
      <c r="J81" s="1033">
        <f>SUM(J79:J80)</f>
        <v>449.9</v>
      </c>
      <c r="K81" s="179"/>
      <c r="L81" s="365"/>
      <c r="M81" s="365"/>
      <c r="N81" s="259"/>
    </row>
    <row r="82" spans="1:18" ht="26.25" customHeight="1">
      <c r="A82" s="1157"/>
      <c r="B82" s="1379"/>
      <c r="C82" s="1139" t="s">
        <v>818</v>
      </c>
      <c r="D82" s="1139"/>
      <c r="E82" s="1139"/>
      <c r="F82" s="963" t="s">
        <v>112</v>
      </c>
      <c r="G82" s="961" t="s">
        <v>79</v>
      </c>
      <c r="H82" s="729">
        <v>20</v>
      </c>
      <c r="I82" s="729">
        <v>0</v>
      </c>
      <c r="J82" s="962">
        <v>0</v>
      </c>
      <c r="K82" s="250" t="s">
        <v>721</v>
      </c>
      <c r="L82" s="238">
        <v>2</v>
      </c>
      <c r="M82" s="734"/>
      <c r="N82" s="239"/>
      <c r="R82" s="226">
        <v>2</v>
      </c>
    </row>
    <row r="83" spans="1:18" s="185" customFormat="1" ht="25.5" customHeight="1" thickBot="1">
      <c r="A83" s="1157"/>
      <c r="B83" s="1379"/>
      <c r="C83" s="1142"/>
      <c r="D83" s="1142"/>
      <c r="E83" s="1142"/>
      <c r="F83" s="1004" t="s">
        <v>112</v>
      </c>
      <c r="G83" s="986" t="s">
        <v>113</v>
      </c>
      <c r="H83" s="968">
        <v>270</v>
      </c>
      <c r="I83" s="968">
        <v>0</v>
      </c>
      <c r="J83" s="968">
        <v>0</v>
      </c>
      <c r="K83" s="1014" t="s">
        <v>722</v>
      </c>
      <c r="L83" s="973">
        <v>100</v>
      </c>
      <c r="M83" s="973"/>
      <c r="N83" s="976"/>
    </row>
    <row r="84" spans="1:18" ht="13.5" thickBot="1">
      <c r="A84" s="1157"/>
      <c r="B84" s="1379"/>
      <c r="C84" s="1712" t="s">
        <v>76</v>
      </c>
      <c r="D84" s="1710"/>
      <c r="E84" s="1710"/>
      <c r="F84" s="1710"/>
      <c r="G84" s="1710"/>
      <c r="H84" s="1034">
        <f>SUM(H82:H83)</f>
        <v>290</v>
      </c>
      <c r="I84" s="1035">
        <f t="shared" ref="I84:J84" si="5">SUM(I82:I83)</f>
        <v>0</v>
      </c>
      <c r="J84" s="1035">
        <f t="shared" si="5"/>
        <v>0</v>
      </c>
      <c r="K84" s="179"/>
      <c r="L84" s="365"/>
      <c r="M84" s="365"/>
      <c r="N84" s="259"/>
    </row>
    <row r="85" spans="1:18" s="185" customFormat="1" ht="82.5" customHeight="1" thickBot="1">
      <c r="A85" s="1157"/>
      <c r="B85" s="1379"/>
      <c r="C85" s="1139" t="s">
        <v>701</v>
      </c>
      <c r="D85" s="1139"/>
      <c r="E85" s="1140"/>
      <c r="F85" s="317" t="s">
        <v>112</v>
      </c>
      <c r="G85" s="961" t="s">
        <v>79</v>
      </c>
      <c r="H85" s="1049">
        <v>16.2</v>
      </c>
      <c r="I85" s="967">
        <v>0</v>
      </c>
      <c r="J85" s="967">
        <v>0</v>
      </c>
      <c r="K85" s="255" t="s">
        <v>723</v>
      </c>
      <c r="L85" s="241">
        <v>100</v>
      </c>
      <c r="M85" s="241"/>
      <c r="N85" s="975"/>
      <c r="R85" s="185">
        <v>2</v>
      </c>
    </row>
    <row r="86" spans="1:18" ht="13.5" thickBot="1">
      <c r="A86" s="1157"/>
      <c r="B86" s="1379"/>
      <c r="C86" s="1712" t="s">
        <v>76</v>
      </c>
      <c r="D86" s="1739"/>
      <c r="E86" s="1739"/>
      <c r="F86" s="1739"/>
      <c r="G86" s="1742"/>
      <c r="H86" s="1028">
        <f>SUM(H85:H85)</f>
        <v>16.2</v>
      </c>
      <c r="I86" s="1033">
        <f>SUM(I85:I85)</f>
        <v>0</v>
      </c>
      <c r="J86" s="1033">
        <f>SUM(J85:J85)</f>
        <v>0</v>
      </c>
      <c r="K86" s="179"/>
      <c r="L86" s="365"/>
      <c r="M86" s="365"/>
      <c r="N86" s="259"/>
    </row>
    <row r="87" spans="1:18" ht="36" customHeight="1" thickBot="1">
      <c r="A87" s="1157"/>
      <c r="B87" s="1379"/>
      <c r="C87" s="1751" t="s">
        <v>847</v>
      </c>
      <c r="D87" s="1751"/>
      <c r="E87" s="1752"/>
      <c r="F87" s="771" t="s">
        <v>112</v>
      </c>
      <c r="G87" s="986" t="s">
        <v>79</v>
      </c>
      <c r="H87" s="968">
        <v>6.5</v>
      </c>
      <c r="I87" s="987">
        <v>0</v>
      </c>
      <c r="J87" s="987">
        <v>0</v>
      </c>
      <c r="K87" s="773" t="s">
        <v>702</v>
      </c>
      <c r="L87" s="241">
        <v>1</v>
      </c>
      <c r="M87" s="241"/>
      <c r="N87" s="976"/>
      <c r="R87" s="226">
        <v>2</v>
      </c>
    </row>
    <row r="88" spans="1:18" s="185" customFormat="1" ht="13.5" thickBot="1">
      <c r="A88" s="1157"/>
      <c r="B88" s="1379"/>
      <c r="C88" s="1712" t="s">
        <v>76</v>
      </c>
      <c r="D88" s="1739"/>
      <c r="E88" s="1739"/>
      <c r="F88" s="1739"/>
      <c r="G88" s="1742"/>
      <c r="H88" s="1039">
        <f>SUM(H87:H87)</f>
        <v>6.5</v>
      </c>
      <c r="I88" s="1029">
        <f>SUM(I87:I87)</f>
        <v>0</v>
      </c>
      <c r="J88" s="1029">
        <f>SUM(J87:J87)</f>
        <v>0</v>
      </c>
      <c r="K88" s="179"/>
      <c r="L88" s="365"/>
      <c r="M88" s="365"/>
      <c r="N88" s="259"/>
    </row>
    <row r="89" spans="1:18" s="185" customFormat="1" ht="25.5" customHeight="1">
      <c r="A89" s="1157"/>
      <c r="B89" s="1379"/>
      <c r="C89" s="1090" t="s">
        <v>759</v>
      </c>
      <c r="D89" s="1139"/>
      <c r="E89" s="1140"/>
      <c r="F89" s="963" t="s">
        <v>112</v>
      </c>
      <c r="G89" s="961" t="s">
        <v>79</v>
      </c>
      <c r="H89" s="730">
        <v>31.5</v>
      </c>
      <c r="I89" s="730">
        <v>0</v>
      </c>
      <c r="J89" s="730">
        <v>0</v>
      </c>
      <c r="K89" s="999" t="s">
        <v>368</v>
      </c>
      <c r="L89" s="238">
        <v>3</v>
      </c>
      <c r="M89" s="238"/>
      <c r="N89" s="239"/>
      <c r="R89" s="185">
        <v>2</v>
      </c>
    </row>
    <row r="90" spans="1:18" s="185" customFormat="1" ht="27.75" customHeight="1" thickBot="1">
      <c r="A90" s="1157"/>
      <c r="B90" s="1379"/>
      <c r="C90" s="1425"/>
      <c r="D90" s="1426"/>
      <c r="E90" s="1427"/>
      <c r="F90" s="978" t="s">
        <v>112</v>
      </c>
      <c r="G90" s="982" t="s">
        <v>98</v>
      </c>
      <c r="H90" s="731">
        <v>62</v>
      </c>
      <c r="I90" s="731">
        <v>0</v>
      </c>
      <c r="J90" s="731">
        <v>0</v>
      </c>
      <c r="K90" s="358" t="s">
        <v>346</v>
      </c>
      <c r="L90" s="1005">
        <v>100</v>
      </c>
      <c r="M90" s="1012"/>
      <c r="N90" s="240"/>
      <c r="R90" s="185">
        <v>2</v>
      </c>
    </row>
    <row r="91" spans="1:18" s="185" customFormat="1" ht="13.5" customHeight="1" thickBot="1">
      <c r="A91" s="1157"/>
      <c r="B91" s="1713"/>
      <c r="C91" s="1743" t="s">
        <v>76</v>
      </c>
      <c r="D91" s="1744"/>
      <c r="E91" s="1744"/>
      <c r="F91" s="1744"/>
      <c r="G91" s="1745"/>
      <c r="H91" s="1050">
        <f>SUM(H89:H90)</f>
        <v>93.5</v>
      </c>
      <c r="I91" s="1051">
        <f>SUM(I89:I90)</f>
        <v>0</v>
      </c>
      <c r="J91" s="1051">
        <f>SUM(J89:J90)</f>
        <v>0</v>
      </c>
      <c r="K91" s="995"/>
      <c r="L91" s="424"/>
      <c r="M91" s="424"/>
      <c r="N91" s="425"/>
    </row>
    <row r="92" spans="1:18" ht="13.5" thickBot="1">
      <c r="A92" s="1157"/>
      <c r="B92" s="1712" t="s">
        <v>77</v>
      </c>
      <c r="C92" s="1712"/>
      <c r="D92" s="1712"/>
      <c r="E92" s="1712"/>
      <c r="F92" s="1712"/>
      <c r="G92" s="1712"/>
      <c r="H92" s="1041">
        <f>H58+H60+H62+H64+H66+H68+H70+H72+H74+H76+H78+H81+H84+H88+H86+H91</f>
        <v>1256.8</v>
      </c>
      <c r="I92" s="1054">
        <f>I58+I60+I62+I64+I66+I68+I70+I72+I74+I76+I78+I81+I84+I88+I86</f>
        <v>1107.96</v>
      </c>
      <c r="J92" s="1054">
        <f>J58+J60+J62+J64+J66+J68+J70+J72+J74+J76+J78+J81+J84+J88+J86</f>
        <v>1034.1999999999998</v>
      </c>
      <c r="K92" s="179"/>
      <c r="L92" s="365"/>
      <c r="M92" s="365"/>
      <c r="N92" s="259"/>
    </row>
    <row r="93" spans="1:18" ht="35.25" customHeight="1" thickBot="1">
      <c r="A93" s="1157"/>
      <c r="B93" s="1159" t="s">
        <v>679</v>
      </c>
      <c r="C93" s="1344" t="s">
        <v>819</v>
      </c>
      <c r="D93" s="1551"/>
      <c r="E93" s="1551"/>
      <c r="F93" s="257" t="s">
        <v>112</v>
      </c>
      <c r="G93" s="258" t="s">
        <v>79</v>
      </c>
      <c r="H93" s="1000">
        <v>7</v>
      </c>
      <c r="I93" s="1000">
        <v>7</v>
      </c>
      <c r="J93" s="1000">
        <v>7</v>
      </c>
      <c r="K93" s="1053" t="s">
        <v>243</v>
      </c>
      <c r="L93" s="1040">
        <v>10</v>
      </c>
      <c r="M93" s="1040">
        <v>10</v>
      </c>
      <c r="N93" s="977">
        <v>10</v>
      </c>
      <c r="R93" s="226">
        <v>1</v>
      </c>
    </row>
    <row r="94" spans="1:18" ht="13.5" thickBot="1">
      <c r="A94" s="1157"/>
      <c r="B94" s="1157"/>
      <c r="C94" s="1365" t="s">
        <v>76</v>
      </c>
      <c r="D94" s="1320"/>
      <c r="E94" s="1320"/>
      <c r="F94" s="1320"/>
      <c r="G94" s="1479"/>
      <c r="H94" s="359">
        <f>SUM(H93:H93)</f>
        <v>7</v>
      </c>
      <c r="I94" s="360">
        <f>SUM(I93:I93)</f>
        <v>7</v>
      </c>
      <c r="J94" s="360">
        <f>SUM(J93:J93)</f>
        <v>7</v>
      </c>
      <c r="K94" s="95"/>
      <c r="L94" s="162"/>
      <c r="M94" s="162"/>
      <c r="N94" s="130"/>
    </row>
    <row r="95" spans="1:18" ht="30" customHeight="1" thickBot="1">
      <c r="A95" s="1157"/>
      <c r="B95" s="1157"/>
      <c r="C95" s="1343" t="s">
        <v>669</v>
      </c>
      <c r="D95" s="1343"/>
      <c r="E95" s="1344"/>
      <c r="F95" s="295" t="s">
        <v>112</v>
      </c>
      <c r="G95" s="258" t="s">
        <v>79</v>
      </c>
      <c r="H95" s="965">
        <v>1.7</v>
      </c>
      <c r="I95" s="865">
        <f>H95*1.006</f>
        <v>1.7101999999999999</v>
      </c>
      <c r="J95" s="865">
        <f>I95*1.006</f>
        <v>1.7204611999999999</v>
      </c>
      <c r="K95" s="1017" t="s">
        <v>620</v>
      </c>
      <c r="L95" s="998">
        <v>1</v>
      </c>
      <c r="M95" s="998">
        <v>1</v>
      </c>
      <c r="N95" s="974">
        <v>1</v>
      </c>
      <c r="R95" s="226">
        <v>1</v>
      </c>
    </row>
    <row r="96" spans="1:18" ht="13.5" thickBot="1">
      <c r="A96" s="1157"/>
      <c r="B96" s="1157"/>
      <c r="C96" s="1386" t="s">
        <v>76</v>
      </c>
      <c r="D96" s="1367"/>
      <c r="E96" s="1367"/>
      <c r="F96" s="1367"/>
      <c r="G96" s="1367"/>
      <c r="H96" s="320">
        <f>SUM(H95:H95)</f>
        <v>1.7</v>
      </c>
      <c r="I96" s="321">
        <f>SUM(I95:I95)</f>
        <v>1.7101999999999999</v>
      </c>
      <c r="J96" s="321">
        <f>SUM(J95:J95)</f>
        <v>1.7204611999999999</v>
      </c>
      <c r="K96" s="227"/>
      <c r="L96" s="102"/>
      <c r="M96" s="102"/>
      <c r="N96" s="127"/>
    </row>
    <row r="97" spans="1:18" ht="31.5" customHeight="1">
      <c r="A97" s="1157"/>
      <c r="B97" s="1254"/>
      <c r="C97" s="1076" t="s">
        <v>703</v>
      </c>
      <c r="D97" s="1152"/>
      <c r="E97" s="1152"/>
      <c r="F97" s="1080" t="s">
        <v>112</v>
      </c>
      <c r="G97" s="638" t="s">
        <v>79</v>
      </c>
      <c r="H97" s="967">
        <v>13.8</v>
      </c>
      <c r="I97" s="1002">
        <v>0</v>
      </c>
      <c r="J97" s="1002">
        <v>0</v>
      </c>
      <c r="K97" s="63" t="s">
        <v>724</v>
      </c>
      <c r="L97" s="241">
        <v>98</v>
      </c>
      <c r="M97" s="241"/>
      <c r="N97" s="642"/>
      <c r="R97" s="226">
        <v>2</v>
      </c>
    </row>
    <row r="98" spans="1:18" ht="31.5" customHeight="1" thickBot="1">
      <c r="A98" s="1157"/>
      <c r="B98" s="1719"/>
      <c r="C98" s="1312"/>
      <c r="D98" s="1313"/>
      <c r="E98" s="1313"/>
      <c r="F98" s="1314"/>
      <c r="G98" s="462" t="s">
        <v>98</v>
      </c>
      <c r="H98" s="1014">
        <v>78.099999999999994</v>
      </c>
      <c r="I98" s="960">
        <v>0</v>
      </c>
      <c r="J98" s="987">
        <v>0</v>
      </c>
      <c r="K98" s="1052" t="s">
        <v>346</v>
      </c>
      <c r="L98" s="973">
        <v>100</v>
      </c>
      <c r="M98" s="709"/>
      <c r="N98" s="976"/>
      <c r="R98" s="226">
        <v>2</v>
      </c>
    </row>
    <row r="99" spans="1:18" ht="13.5" thickBot="1">
      <c r="A99" s="1157"/>
      <c r="B99" s="649"/>
      <c r="C99" s="1106" t="s">
        <v>76</v>
      </c>
      <c r="D99" s="1320"/>
      <c r="E99" s="1320"/>
      <c r="F99" s="1320"/>
      <c r="G99" s="1320"/>
      <c r="H99" s="315">
        <f>SUM(H97:H98)</f>
        <v>91.899999999999991</v>
      </c>
      <c r="I99" s="316">
        <f>SUM(I97:I98)</f>
        <v>0</v>
      </c>
      <c r="J99" s="316">
        <f>SUM(J97:J98)</f>
        <v>0</v>
      </c>
      <c r="K99" s="229"/>
      <c r="L99" s="133"/>
      <c r="M99" s="133"/>
      <c r="N99" s="134"/>
    </row>
    <row r="100" spans="1:18" ht="13.5" thickBot="1">
      <c r="A100" s="1179"/>
      <c r="B100" s="1100" t="s">
        <v>77</v>
      </c>
      <c r="C100" s="1616"/>
      <c r="D100" s="1616"/>
      <c r="E100" s="1616"/>
      <c r="F100" s="1616"/>
      <c r="G100" s="1616"/>
      <c r="H100" s="320">
        <f>H94+H96+H99</f>
        <v>100.6</v>
      </c>
      <c r="I100" s="321">
        <f>I94+I96+I99</f>
        <v>8.7102000000000004</v>
      </c>
      <c r="J100" s="321">
        <f>J94+J96+J99</f>
        <v>8.720461199999999</v>
      </c>
      <c r="K100" s="227"/>
      <c r="L100" s="102"/>
      <c r="M100" s="102"/>
      <c r="N100" s="127"/>
    </row>
    <row r="101" spans="1:18" ht="13.5" thickBot="1">
      <c r="A101" s="1173" t="s">
        <v>203</v>
      </c>
      <c r="B101" s="1714"/>
      <c r="C101" s="1715"/>
      <c r="D101" s="1715"/>
      <c r="E101" s="1715"/>
      <c r="F101" s="1715"/>
      <c r="G101" s="1715"/>
      <c r="H101" s="356">
        <f>H56+H92+H100</f>
        <v>4357.5000000000009</v>
      </c>
      <c r="I101" s="357">
        <f>I56+I92+I100</f>
        <v>4099.3116</v>
      </c>
      <c r="J101" s="357">
        <f>J56+J92+J100</f>
        <v>4039.1845096000002</v>
      </c>
      <c r="K101" s="110"/>
      <c r="L101" s="144"/>
      <c r="M101" s="144"/>
      <c r="N101" s="145"/>
    </row>
    <row r="102" spans="1:18" ht="15" customHeight="1">
      <c r="A102" s="1159" t="s">
        <v>690</v>
      </c>
      <c r="B102" s="1257" t="s">
        <v>680</v>
      </c>
      <c r="C102" s="1076" t="s">
        <v>624</v>
      </c>
      <c r="D102" s="1677"/>
      <c r="E102" s="1677"/>
      <c r="F102" s="1098" t="s">
        <v>132</v>
      </c>
      <c r="G102" s="1072" t="s">
        <v>79</v>
      </c>
      <c r="H102" s="1108">
        <v>4.4000000000000004</v>
      </c>
      <c r="I102" s="1523">
        <v>5</v>
      </c>
      <c r="J102" s="1523">
        <v>5</v>
      </c>
      <c r="K102" s="918" t="s">
        <v>622</v>
      </c>
      <c r="L102" s="791">
        <v>1</v>
      </c>
      <c r="M102" s="770"/>
      <c r="N102" s="1032"/>
    </row>
    <row r="103" spans="1:18" ht="15.75" customHeight="1">
      <c r="A103" s="1157"/>
      <c r="B103" s="1608"/>
      <c r="C103" s="1678"/>
      <c r="D103" s="1679"/>
      <c r="E103" s="1679"/>
      <c r="F103" s="1671"/>
      <c r="G103" s="1753"/>
      <c r="H103" s="1746"/>
      <c r="I103" s="1737"/>
      <c r="J103" s="1737"/>
      <c r="K103" s="777" t="s">
        <v>623</v>
      </c>
      <c r="L103" s="752">
        <v>1</v>
      </c>
      <c r="M103" s="752">
        <v>1</v>
      </c>
      <c r="N103" s="319">
        <v>1</v>
      </c>
    </row>
    <row r="104" spans="1:18" ht="14.45" customHeight="1">
      <c r="A104" s="1157"/>
      <c r="B104" s="1608"/>
      <c r="C104" s="1678"/>
      <c r="D104" s="1679"/>
      <c r="E104" s="1679"/>
      <c r="F104" s="1671"/>
      <c r="G104" s="1753"/>
      <c r="H104" s="1746"/>
      <c r="I104" s="1737"/>
      <c r="J104" s="1737"/>
      <c r="K104" s="778" t="s">
        <v>725</v>
      </c>
      <c r="L104" s="752">
        <v>1</v>
      </c>
      <c r="M104" s="745"/>
      <c r="N104" s="756"/>
    </row>
    <row r="105" spans="1:18" ht="25.5" customHeight="1" thickBot="1">
      <c r="A105" s="1157"/>
      <c r="B105" s="1608"/>
      <c r="C105" s="1680"/>
      <c r="D105" s="1681"/>
      <c r="E105" s="1681"/>
      <c r="F105" s="779" t="s">
        <v>112</v>
      </c>
      <c r="G105" s="462" t="s">
        <v>79</v>
      </c>
      <c r="H105" s="938">
        <v>31.6</v>
      </c>
      <c r="I105" s="780">
        <v>20</v>
      </c>
      <c r="J105" s="780">
        <v>20</v>
      </c>
      <c r="K105" s="781" t="s">
        <v>371</v>
      </c>
      <c r="L105" s="248">
        <v>1</v>
      </c>
      <c r="M105" s="248">
        <v>1</v>
      </c>
      <c r="N105" s="240">
        <v>1</v>
      </c>
      <c r="R105" s="226">
        <v>2</v>
      </c>
    </row>
    <row r="106" spans="1:18" ht="13.5" thickBot="1">
      <c r="A106" s="1157"/>
      <c r="B106" s="1607"/>
      <c r="C106" s="1176" t="s">
        <v>76</v>
      </c>
      <c r="D106" s="1651"/>
      <c r="E106" s="1651"/>
      <c r="F106" s="1651"/>
      <c r="G106" s="1651"/>
      <c r="H106" s="300">
        <f>H102+H105</f>
        <v>36</v>
      </c>
      <c r="I106" s="301">
        <f>I102+I105</f>
        <v>25</v>
      </c>
      <c r="J106" s="301">
        <f>J102+J105</f>
        <v>25</v>
      </c>
      <c r="K106" s="249"/>
      <c r="L106" s="76"/>
      <c r="M106" s="76"/>
      <c r="N106" s="129"/>
    </row>
    <row r="107" spans="1:18" ht="37.5" customHeight="1" thickBot="1">
      <c r="A107" s="1607"/>
      <c r="B107" s="1607"/>
      <c r="C107" s="1330" t="s">
        <v>644</v>
      </c>
      <c r="D107" s="1672"/>
      <c r="E107" s="1673"/>
      <c r="F107" s="506" t="s">
        <v>131</v>
      </c>
      <c r="G107" s="258" t="s">
        <v>79</v>
      </c>
      <c r="H107" s="965">
        <v>13</v>
      </c>
      <c r="I107" s="979">
        <v>10</v>
      </c>
      <c r="J107" s="979">
        <v>10</v>
      </c>
      <c r="K107" s="232" t="s">
        <v>625</v>
      </c>
      <c r="L107" s="797">
        <v>2</v>
      </c>
      <c r="M107" s="797">
        <v>1</v>
      </c>
      <c r="N107" s="1055">
        <v>1</v>
      </c>
    </row>
    <row r="108" spans="1:18" ht="13.5" thickBot="1">
      <c r="A108" s="1607"/>
      <c r="B108" s="1607"/>
      <c r="C108" s="1126" t="s">
        <v>76</v>
      </c>
      <c r="D108" s="1670"/>
      <c r="E108" s="1670"/>
      <c r="F108" s="1670"/>
      <c r="G108" s="1670"/>
      <c r="H108" s="297">
        <f>H107</f>
        <v>13</v>
      </c>
      <c r="I108" s="284">
        <f>I107</f>
        <v>10</v>
      </c>
      <c r="J108" s="284">
        <f>J107</f>
        <v>10</v>
      </c>
      <c r="K108" s="156"/>
      <c r="L108" s="102"/>
      <c r="M108" s="102"/>
      <c r="N108" s="127"/>
    </row>
    <row r="109" spans="1:18">
      <c r="A109" s="1607"/>
      <c r="B109" s="1608"/>
      <c r="C109" s="1076" t="s">
        <v>645</v>
      </c>
      <c r="D109" s="1152"/>
      <c r="E109" s="1152"/>
      <c r="F109" s="1757" t="s">
        <v>116</v>
      </c>
      <c r="G109" s="1072" t="s">
        <v>79</v>
      </c>
      <c r="H109" s="1108">
        <v>40</v>
      </c>
      <c r="I109" s="1108">
        <v>20</v>
      </c>
      <c r="J109" s="1108">
        <v>15</v>
      </c>
      <c r="K109" s="918" t="s">
        <v>726</v>
      </c>
      <c r="L109" s="791">
        <v>98</v>
      </c>
      <c r="M109" s="770">
        <v>50</v>
      </c>
      <c r="N109" s="919">
        <v>40</v>
      </c>
    </row>
    <row r="110" spans="1:18">
      <c r="A110" s="1607"/>
      <c r="B110" s="1608"/>
      <c r="C110" s="1626"/>
      <c r="D110" s="1308"/>
      <c r="E110" s="1308"/>
      <c r="F110" s="1758"/>
      <c r="G110" s="1144"/>
      <c r="H110" s="1089"/>
      <c r="I110" s="1089"/>
      <c r="J110" s="1089"/>
      <c r="K110" s="777" t="s">
        <v>627</v>
      </c>
      <c r="L110" s="752">
        <v>12</v>
      </c>
      <c r="M110" s="745"/>
      <c r="N110" s="746"/>
    </row>
    <row r="111" spans="1:18" ht="13.5" thickBot="1">
      <c r="A111" s="1607"/>
      <c r="B111" s="1608"/>
      <c r="C111" s="1312"/>
      <c r="D111" s="1313"/>
      <c r="E111" s="1313"/>
      <c r="F111" s="1759"/>
      <c r="G111" s="1364"/>
      <c r="H111" s="1118"/>
      <c r="I111" s="1118"/>
      <c r="J111" s="1118"/>
      <c r="K111" s="778" t="s">
        <v>727</v>
      </c>
      <c r="L111" s="1007">
        <v>250</v>
      </c>
      <c r="M111" s="1007">
        <v>1760</v>
      </c>
      <c r="N111" s="768"/>
    </row>
    <row r="112" spans="1:18" ht="13.5" thickBot="1">
      <c r="A112" s="1607"/>
      <c r="B112" s="1607"/>
      <c r="C112" s="1176" t="s">
        <v>76</v>
      </c>
      <c r="D112" s="1651"/>
      <c r="E112" s="1651"/>
      <c r="F112" s="1651"/>
      <c r="G112" s="1651"/>
      <c r="H112" s="297">
        <f>H109</f>
        <v>40</v>
      </c>
      <c r="I112" s="284">
        <f>I109</f>
        <v>20</v>
      </c>
      <c r="J112" s="284">
        <f>J109</f>
        <v>15</v>
      </c>
      <c r="K112" s="156"/>
      <c r="L112" s="102"/>
      <c r="M112" s="102"/>
      <c r="N112" s="127"/>
    </row>
    <row r="113" spans="1:14" ht="15" customHeight="1">
      <c r="A113" s="1607"/>
      <c r="B113" s="1608"/>
      <c r="C113" s="1076" t="s">
        <v>646</v>
      </c>
      <c r="D113" s="1677"/>
      <c r="E113" s="1677"/>
      <c r="F113" s="1098" t="s">
        <v>117</v>
      </c>
      <c r="G113" s="1072" t="s">
        <v>79</v>
      </c>
      <c r="H113" s="1108">
        <v>10.6</v>
      </c>
      <c r="I113" s="1523">
        <v>20</v>
      </c>
      <c r="J113" s="1523">
        <v>10</v>
      </c>
      <c r="K113" s="918" t="s">
        <v>622</v>
      </c>
      <c r="L113" s="791">
        <v>1</v>
      </c>
      <c r="M113" s="770"/>
      <c r="N113" s="919"/>
    </row>
    <row r="114" spans="1:14" ht="15" customHeight="1">
      <c r="A114" s="1607"/>
      <c r="B114" s="1608"/>
      <c r="C114" s="1612"/>
      <c r="D114" s="1728"/>
      <c r="E114" s="1728"/>
      <c r="F114" s="1381"/>
      <c r="G114" s="1121"/>
      <c r="H114" s="1440"/>
      <c r="I114" s="1736"/>
      <c r="J114" s="1736"/>
      <c r="K114" s="777" t="s">
        <v>726</v>
      </c>
      <c r="L114" s="745">
        <v>50</v>
      </c>
      <c r="M114" s="745">
        <v>40</v>
      </c>
      <c r="N114" s="746">
        <v>20</v>
      </c>
    </row>
    <row r="115" spans="1:14" ht="15" customHeight="1" thickBot="1">
      <c r="A115" s="1607"/>
      <c r="B115" s="1608"/>
      <c r="C115" s="1680"/>
      <c r="D115" s="1681"/>
      <c r="E115" s="1681"/>
      <c r="F115" s="1729"/>
      <c r="G115" s="1676"/>
      <c r="H115" s="1726"/>
      <c r="I115" s="1720"/>
      <c r="J115" s="1720"/>
      <c r="K115" s="785" t="s">
        <v>728</v>
      </c>
      <c r="L115" s="786">
        <v>70</v>
      </c>
      <c r="M115" s="788"/>
      <c r="N115" s="787"/>
    </row>
    <row r="116" spans="1:14" ht="13.5" thickBot="1">
      <c r="A116" s="1607"/>
      <c r="B116" s="1607"/>
      <c r="C116" s="1106" t="s">
        <v>76</v>
      </c>
      <c r="D116" s="1628"/>
      <c r="E116" s="1628"/>
      <c r="F116" s="1628"/>
      <c r="G116" s="1628"/>
      <c r="H116" s="273">
        <f>H113</f>
        <v>10.6</v>
      </c>
      <c r="I116" s="273">
        <f>I113</f>
        <v>20</v>
      </c>
      <c r="J116" s="273">
        <f>J113</f>
        <v>10</v>
      </c>
      <c r="K116" s="245"/>
      <c r="L116" s="162"/>
      <c r="M116" s="162"/>
      <c r="N116" s="130"/>
    </row>
    <row r="117" spans="1:14" ht="35.25" customHeight="1" thickBot="1">
      <c r="A117" s="1607"/>
      <c r="B117" s="1608"/>
      <c r="C117" s="1083" t="s">
        <v>760</v>
      </c>
      <c r="D117" s="1727"/>
      <c r="E117" s="1727"/>
      <c r="F117" s="506" t="s">
        <v>415</v>
      </c>
      <c r="G117" s="258" t="s">
        <v>79</v>
      </c>
      <c r="H117" s="296">
        <v>37</v>
      </c>
      <c r="I117" s="369">
        <v>25</v>
      </c>
      <c r="J117" s="369">
        <v>10</v>
      </c>
      <c r="K117" s="782" t="s">
        <v>726</v>
      </c>
      <c r="L117" s="783">
        <v>300</v>
      </c>
      <c r="M117" s="783">
        <v>100</v>
      </c>
      <c r="N117" s="769">
        <v>20</v>
      </c>
    </row>
    <row r="118" spans="1:14" ht="13.5" thickBot="1">
      <c r="A118" s="1607"/>
      <c r="B118" s="1607"/>
      <c r="C118" s="1176" t="s">
        <v>76</v>
      </c>
      <c r="D118" s="1651"/>
      <c r="E118" s="1651"/>
      <c r="F118" s="1651"/>
      <c r="G118" s="1651"/>
      <c r="H118" s="300">
        <f>H117</f>
        <v>37</v>
      </c>
      <c r="I118" s="301">
        <f>I117</f>
        <v>25</v>
      </c>
      <c r="J118" s="301">
        <f>J117</f>
        <v>10</v>
      </c>
      <c r="K118" s="249"/>
      <c r="L118" s="76"/>
      <c r="M118" s="76"/>
      <c r="N118" s="129"/>
    </row>
    <row r="119" spans="1:14" ht="15.6" customHeight="1">
      <c r="A119" s="1607"/>
      <c r="B119" s="1608"/>
      <c r="C119" s="1076" t="s">
        <v>647</v>
      </c>
      <c r="D119" s="1152"/>
      <c r="E119" s="1152"/>
      <c r="F119" s="1362" t="s">
        <v>643</v>
      </c>
      <c r="G119" s="1072" t="s">
        <v>79</v>
      </c>
      <c r="H119" s="1074">
        <v>4</v>
      </c>
      <c r="I119" s="1393">
        <v>20</v>
      </c>
      <c r="J119" s="1393">
        <v>10</v>
      </c>
      <c r="K119" s="774" t="s">
        <v>642</v>
      </c>
      <c r="L119" s="750">
        <v>1</v>
      </c>
      <c r="M119" s="734"/>
      <c r="N119" s="776"/>
    </row>
    <row r="120" spans="1:14" ht="21.75" customHeight="1" thickBot="1">
      <c r="A120" s="1607"/>
      <c r="B120" s="1608"/>
      <c r="C120" s="1312"/>
      <c r="D120" s="1313"/>
      <c r="E120" s="1313"/>
      <c r="F120" s="1363"/>
      <c r="G120" s="1364"/>
      <c r="H120" s="1118"/>
      <c r="I120" s="1401"/>
      <c r="J120" s="1401"/>
      <c r="K120" s="778" t="s">
        <v>726</v>
      </c>
      <c r="L120" s="1007"/>
      <c r="M120" s="1056">
        <v>40</v>
      </c>
      <c r="N120" s="1057">
        <v>20</v>
      </c>
    </row>
    <row r="121" spans="1:14" ht="13.5" thickBot="1">
      <c r="A121" s="1607"/>
      <c r="B121" s="1607"/>
      <c r="C121" s="1106" t="s">
        <v>76</v>
      </c>
      <c r="D121" s="1320"/>
      <c r="E121" s="1320"/>
      <c r="F121" s="1320"/>
      <c r="G121" s="1320"/>
      <c r="H121" s="297">
        <f>H119</f>
        <v>4</v>
      </c>
      <c r="I121" s="284">
        <f>I119</f>
        <v>20</v>
      </c>
      <c r="J121" s="284">
        <f>J119</f>
        <v>10</v>
      </c>
      <c r="K121" s="156"/>
      <c r="L121" s="102"/>
      <c r="M121" s="102"/>
      <c r="N121" s="127"/>
    </row>
    <row r="122" spans="1:14" ht="19.5" customHeight="1">
      <c r="A122" s="1607"/>
      <c r="B122" s="1607"/>
      <c r="C122" s="1076" t="s">
        <v>648</v>
      </c>
      <c r="D122" s="1677"/>
      <c r="E122" s="1677"/>
      <c r="F122" s="1260" t="s">
        <v>135</v>
      </c>
      <c r="G122" s="1072" t="s">
        <v>79</v>
      </c>
      <c r="H122" s="1108">
        <v>21.6</v>
      </c>
      <c r="I122" s="1461">
        <v>15</v>
      </c>
      <c r="J122" s="1461">
        <v>15</v>
      </c>
      <c r="K122" s="918" t="s">
        <v>729</v>
      </c>
      <c r="L122" s="791">
        <v>730</v>
      </c>
      <c r="M122" s="791">
        <v>620</v>
      </c>
      <c r="N122" s="792">
        <v>620</v>
      </c>
    </row>
    <row r="123" spans="1:14" ht="19.5" customHeight="1" thickBot="1">
      <c r="A123" s="1607"/>
      <c r="B123" s="1607"/>
      <c r="C123" s="1680"/>
      <c r="D123" s="1681"/>
      <c r="E123" s="1681"/>
      <c r="F123" s="1675"/>
      <c r="G123" s="1676"/>
      <c r="H123" s="1721"/>
      <c r="I123" s="1461"/>
      <c r="J123" s="1461"/>
      <c r="K123" s="778" t="s">
        <v>633</v>
      </c>
      <c r="L123" s="1007">
        <v>1</v>
      </c>
      <c r="M123" s="767"/>
      <c r="N123" s="768"/>
    </row>
    <row r="124" spans="1:14" ht="13.5" thickBot="1">
      <c r="A124" s="1607"/>
      <c r="B124" s="1607"/>
      <c r="C124" s="1126" t="s">
        <v>76</v>
      </c>
      <c r="D124" s="1670"/>
      <c r="E124" s="1670"/>
      <c r="F124" s="1670"/>
      <c r="G124" s="1670"/>
      <c r="H124" s="297">
        <f>H122</f>
        <v>21.6</v>
      </c>
      <c r="I124" s="284">
        <f>I122</f>
        <v>15</v>
      </c>
      <c r="J124" s="284">
        <f>J122</f>
        <v>15</v>
      </c>
      <c r="K124" s="156"/>
      <c r="L124" s="102"/>
      <c r="M124" s="102"/>
      <c r="N124" s="127"/>
    </row>
    <row r="125" spans="1:14" ht="18.75" customHeight="1">
      <c r="A125" s="1607"/>
      <c r="B125" s="1608"/>
      <c r="C125" s="1076" t="s">
        <v>822</v>
      </c>
      <c r="D125" s="1677"/>
      <c r="E125" s="1677"/>
      <c r="F125" s="1260" t="s">
        <v>820</v>
      </c>
      <c r="G125" s="1072" t="s">
        <v>79</v>
      </c>
      <c r="H125" s="1108">
        <v>0</v>
      </c>
      <c r="I125" s="1461">
        <v>30</v>
      </c>
      <c r="J125" s="1461">
        <v>20</v>
      </c>
      <c r="K125" s="918" t="s">
        <v>726</v>
      </c>
      <c r="L125" s="128"/>
      <c r="M125" s="128">
        <v>70</v>
      </c>
      <c r="N125" s="1061">
        <v>50</v>
      </c>
    </row>
    <row r="126" spans="1:14" ht="13.5" customHeight="1" thickBot="1">
      <c r="A126" s="1607"/>
      <c r="B126" s="1608"/>
      <c r="C126" s="1680"/>
      <c r="D126" s="1681"/>
      <c r="E126" s="1681"/>
      <c r="F126" s="1675"/>
      <c r="G126" s="1676"/>
      <c r="H126" s="1721"/>
      <c r="I126" s="1461"/>
      <c r="J126" s="1461"/>
      <c r="K126" s="1058" t="s">
        <v>821</v>
      </c>
      <c r="L126" s="1059"/>
      <c r="M126" s="1059">
        <v>1</v>
      </c>
      <c r="N126" s="1060"/>
    </row>
    <row r="127" spans="1:14" ht="12.75" customHeight="1" thickBot="1">
      <c r="A127" s="1607"/>
      <c r="B127" s="1608"/>
      <c r="C127" s="1106" t="s">
        <v>76</v>
      </c>
      <c r="D127" s="1628"/>
      <c r="E127" s="1628"/>
      <c r="F127" s="1628"/>
      <c r="G127" s="1628"/>
      <c r="H127" s="297">
        <f>H125</f>
        <v>0</v>
      </c>
      <c r="I127" s="284">
        <f t="shared" ref="I127:J127" si="6">I125</f>
        <v>30</v>
      </c>
      <c r="J127" s="284">
        <f t="shared" si="6"/>
        <v>20</v>
      </c>
      <c r="K127" s="156"/>
      <c r="L127" s="102"/>
      <c r="M127" s="102"/>
      <c r="N127" s="127"/>
    </row>
    <row r="128" spans="1:14">
      <c r="A128" s="1607"/>
      <c r="B128" s="1608"/>
      <c r="C128" s="1076" t="s">
        <v>823</v>
      </c>
      <c r="D128" s="1677"/>
      <c r="E128" s="1677"/>
      <c r="F128" s="1362" t="s">
        <v>166</v>
      </c>
      <c r="G128" s="1072" t="s">
        <v>79</v>
      </c>
      <c r="H128" s="1108">
        <v>65</v>
      </c>
      <c r="I128" s="1523">
        <v>10</v>
      </c>
      <c r="J128" s="1523">
        <v>10</v>
      </c>
      <c r="K128" s="918" t="s">
        <v>730</v>
      </c>
      <c r="L128" s="791">
        <v>1</v>
      </c>
      <c r="M128" s="791">
        <v>9</v>
      </c>
      <c r="N128" s="792">
        <v>2</v>
      </c>
    </row>
    <row r="129" spans="1:14">
      <c r="A129" s="1607"/>
      <c r="B129" s="1608"/>
      <c r="C129" s="1612"/>
      <c r="D129" s="1728"/>
      <c r="E129" s="1728"/>
      <c r="F129" s="1760"/>
      <c r="G129" s="1121"/>
      <c r="H129" s="1440"/>
      <c r="I129" s="1461"/>
      <c r="J129" s="1461"/>
      <c r="K129" s="916" t="s">
        <v>761</v>
      </c>
      <c r="L129" s="912">
        <v>1</v>
      </c>
      <c r="M129" s="912"/>
      <c r="N129" s="917"/>
    </row>
    <row r="130" spans="1:14" ht="15.75" customHeight="1" thickBot="1">
      <c r="A130" s="1607"/>
      <c r="B130" s="1608"/>
      <c r="C130" s="1312"/>
      <c r="D130" s="1681"/>
      <c r="E130" s="1681"/>
      <c r="F130" s="1485"/>
      <c r="G130" s="1674"/>
      <c r="H130" s="1730"/>
      <c r="I130" s="1413"/>
      <c r="J130" s="1413"/>
      <c r="K130" s="778" t="s">
        <v>731</v>
      </c>
      <c r="L130" s="1007">
        <v>2</v>
      </c>
      <c r="M130" s="767"/>
      <c r="N130" s="768"/>
    </row>
    <row r="131" spans="1:14" ht="13.5" thickBot="1">
      <c r="A131" s="1607"/>
      <c r="B131" s="1607"/>
      <c r="C131" s="1176" t="s">
        <v>76</v>
      </c>
      <c r="D131" s="1651"/>
      <c r="E131" s="1651"/>
      <c r="F131" s="1651"/>
      <c r="G131" s="1651"/>
      <c r="H131" s="297">
        <f>H128</f>
        <v>65</v>
      </c>
      <c r="I131" s="284">
        <f>I128</f>
        <v>10</v>
      </c>
      <c r="J131" s="284">
        <f>J128</f>
        <v>10</v>
      </c>
      <c r="K131" s="156"/>
      <c r="L131" s="102"/>
      <c r="M131" s="102"/>
      <c r="N131" s="127"/>
    </row>
    <row r="132" spans="1:14" ht="29.25" customHeight="1" thickBot="1">
      <c r="A132" s="1607"/>
      <c r="B132" s="1607"/>
      <c r="C132" s="1722" t="s">
        <v>824</v>
      </c>
      <c r="D132" s="1723"/>
      <c r="E132" s="1723"/>
      <c r="F132" s="794" t="s">
        <v>165</v>
      </c>
      <c r="G132" s="653" t="s">
        <v>79</v>
      </c>
      <c r="H132" s="939">
        <v>30</v>
      </c>
      <c r="I132" s="682">
        <v>70</v>
      </c>
      <c r="J132" s="682">
        <v>0</v>
      </c>
      <c r="K132" s="916" t="s">
        <v>732</v>
      </c>
      <c r="L132" s="795">
        <v>500</v>
      </c>
      <c r="M132" s="795">
        <v>1520</v>
      </c>
      <c r="N132" s="796"/>
    </row>
    <row r="133" spans="1:14" ht="13.5" thickBot="1">
      <c r="A133" s="1607"/>
      <c r="B133" s="1607"/>
      <c r="C133" s="1100" t="s">
        <v>76</v>
      </c>
      <c r="D133" s="1616"/>
      <c r="E133" s="1616"/>
      <c r="F133" s="1616"/>
      <c r="G133" s="1616"/>
      <c r="H133" s="297">
        <f>H132</f>
        <v>30</v>
      </c>
      <c r="I133" s="284">
        <f>I132</f>
        <v>70</v>
      </c>
      <c r="J133" s="284">
        <f>J132</f>
        <v>0</v>
      </c>
      <c r="K133" s="156"/>
      <c r="L133" s="102"/>
      <c r="M133" s="102"/>
      <c r="N133" s="127"/>
    </row>
    <row r="134" spans="1:14" ht="29.25" customHeight="1" thickBot="1">
      <c r="A134" s="1607"/>
      <c r="B134" s="1607"/>
      <c r="C134" s="1722" t="s">
        <v>825</v>
      </c>
      <c r="D134" s="1723"/>
      <c r="E134" s="1723"/>
      <c r="F134" s="794" t="s">
        <v>148</v>
      </c>
      <c r="G134" s="653" t="s">
        <v>79</v>
      </c>
      <c r="H134" s="929">
        <v>20.5</v>
      </c>
      <c r="I134" s="660">
        <v>0</v>
      </c>
      <c r="J134" s="660">
        <v>0</v>
      </c>
      <c r="K134" s="232" t="s">
        <v>634</v>
      </c>
      <c r="L134" s="797">
        <v>260</v>
      </c>
      <c r="M134" s="651"/>
      <c r="N134" s="798"/>
    </row>
    <row r="135" spans="1:14" ht="13.5" thickBot="1">
      <c r="A135" s="1607"/>
      <c r="B135" s="1607"/>
      <c r="C135" s="1100" t="s">
        <v>76</v>
      </c>
      <c r="D135" s="1616"/>
      <c r="E135" s="1616"/>
      <c r="F135" s="1616"/>
      <c r="G135" s="1616"/>
      <c r="H135" s="297">
        <f>H134</f>
        <v>20.5</v>
      </c>
      <c r="I135" s="284">
        <f>I134</f>
        <v>0</v>
      </c>
      <c r="J135" s="284">
        <f>J134</f>
        <v>0</v>
      </c>
      <c r="K135" s="156"/>
      <c r="L135" s="102"/>
      <c r="M135" s="102"/>
      <c r="N135" s="127"/>
    </row>
    <row r="136" spans="1:14" ht="19.5" customHeight="1">
      <c r="A136" s="1607"/>
      <c r="B136" s="1607"/>
      <c r="C136" s="1076" t="s">
        <v>826</v>
      </c>
      <c r="D136" s="1677"/>
      <c r="E136" s="1677"/>
      <c r="F136" s="1260" t="s">
        <v>138</v>
      </c>
      <c r="G136" s="1072" t="s">
        <v>79</v>
      </c>
      <c r="H136" s="1074">
        <v>16.8</v>
      </c>
      <c r="I136" s="1393">
        <v>5</v>
      </c>
      <c r="J136" s="1393">
        <v>5</v>
      </c>
      <c r="K136" s="774" t="s">
        <v>729</v>
      </c>
      <c r="L136" s="764">
        <v>100</v>
      </c>
      <c r="M136" s="734">
        <v>20</v>
      </c>
      <c r="N136" s="776">
        <v>20</v>
      </c>
    </row>
    <row r="137" spans="1:14" ht="27" customHeight="1" thickBot="1">
      <c r="A137" s="1607"/>
      <c r="B137" s="1607"/>
      <c r="C137" s="1680"/>
      <c r="D137" s="1681"/>
      <c r="E137" s="1681"/>
      <c r="F137" s="1675"/>
      <c r="G137" s="1676"/>
      <c r="H137" s="1726"/>
      <c r="I137" s="1720"/>
      <c r="J137" s="1720"/>
      <c r="K137" s="785" t="s">
        <v>733</v>
      </c>
      <c r="L137" s="786">
        <v>1</v>
      </c>
      <c r="M137" s="789"/>
      <c r="N137" s="790"/>
    </row>
    <row r="138" spans="1:14" ht="13.5" thickBot="1">
      <c r="A138" s="1607"/>
      <c r="B138" s="1607"/>
      <c r="C138" s="1100" t="s">
        <v>76</v>
      </c>
      <c r="D138" s="1616"/>
      <c r="E138" s="1616"/>
      <c r="F138" s="1616"/>
      <c r="G138" s="1616"/>
      <c r="H138" s="297">
        <f>H136</f>
        <v>16.8</v>
      </c>
      <c r="I138" s="284">
        <f>I136</f>
        <v>5</v>
      </c>
      <c r="J138" s="284">
        <f>J136</f>
        <v>5</v>
      </c>
      <c r="K138" s="156"/>
      <c r="L138" s="102"/>
      <c r="M138" s="102"/>
      <c r="N138" s="127"/>
    </row>
    <row r="139" spans="1:14" ht="33" customHeight="1" thickBot="1">
      <c r="A139" s="1607"/>
      <c r="B139" s="1607"/>
      <c r="C139" s="1076" t="s">
        <v>827</v>
      </c>
      <c r="D139" s="1677"/>
      <c r="E139" s="1677"/>
      <c r="F139" s="664" t="s">
        <v>169</v>
      </c>
      <c r="G139" s="638" t="s">
        <v>79</v>
      </c>
      <c r="H139" s="928">
        <v>7</v>
      </c>
      <c r="I139" s="658">
        <v>7</v>
      </c>
      <c r="J139" s="658">
        <v>7</v>
      </c>
      <c r="K139" s="774" t="s">
        <v>729</v>
      </c>
      <c r="L139" s="764">
        <v>150</v>
      </c>
      <c r="M139" s="775">
        <v>100</v>
      </c>
      <c r="N139" s="784">
        <v>100</v>
      </c>
    </row>
    <row r="140" spans="1:14" ht="13.5" thickBot="1">
      <c r="A140" s="1607"/>
      <c r="B140" s="1607"/>
      <c r="C140" s="1100" t="s">
        <v>76</v>
      </c>
      <c r="D140" s="1616"/>
      <c r="E140" s="1616"/>
      <c r="F140" s="1616"/>
      <c r="G140" s="1616"/>
      <c r="H140" s="297">
        <f>H139</f>
        <v>7</v>
      </c>
      <c r="I140" s="284">
        <f>I139</f>
        <v>7</v>
      </c>
      <c r="J140" s="284">
        <f>J139</f>
        <v>7</v>
      </c>
      <c r="K140" s="156"/>
      <c r="L140" s="102"/>
      <c r="M140" s="102"/>
      <c r="N140" s="127"/>
    </row>
    <row r="141" spans="1:14" ht="34.5" customHeight="1" thickBot="1">
      <c r="A141" s="1607"/>
      <c r="B141" s="1607"/>
      <c r="C141" s="1076" t="s">
        <v>828</v>
      </c>
      <c r="D141" s="1677"/>
      <c r="E141" s="1677"/>
      <c r="F141" s="664" t="s">
        <v>167</v>
      </c>
      <c r="G141" s="638" t="s">
        <v>79</v>
      </c>
      <c r="H141" s="928">
        <v>20</v>
      </c>
      <c r="I141" s="658">
        <v>20</v>
      </c>
      <c r="J141" s="658">
        <v>0</v>
      </c>
      <c r="K141" s="774" t="s">
        <v>729</v>
      </c>
      <c r="L141" s="764">
        <v>200</v>
      </c>
      <c r="M141" s="750">
        <v>200</v>
      </c>
      <c r="N141" s="776"/>
    </row>
    <row r="142" spans="1:14" ht="13.5" thickBot="1">
      <c r="A142" s="1607"/>
      <c r="B142" s="1607"/>
      <c r="C142" s="1126" t="s">
        <v>76</v>
      </c>
      <c r="D142" s="1670"/>
      <c r="E142" s="1670"/>
      <c r="F142" s="1670"/>
      <c r="G142" s="1670"/>
      <c r="H142" s="293">
        <f>H141</f>
        <v>20</v>
      </c>
      <c r="I142" s="294">
        <f>I141</f>
        <v>20</v>
      </c>
      <c r="J142" s="294">
        <f>J141</f>
        <v>0</v>
      </c>
      <c r="K142" s="157"/>
      <c r="L142" s="133"/>
      <c r="M142" s="133"/>
      <c r="N142" s="134"/>
    </row>
    <row r="143" spans="1:14" ht="15.75" customHeight="1">
      <c r="A143" s="1607"/>
      <c r="B143" s="1608"/>
      <c r="C143" s="1076" t="s">
        <v>829</v>
      </c>
      <c r="D143" s="1152"/>
      <c r="E143" s="1152"/>
      <c r="F143" s="1362" t="s">
        <v>171</v>
      </c>
      <c r="G143" s="1072" t="s">
        <v>79</v>
      </c>
      <c r="H143" s="1087">
        <v>37.5</v>
      </c>
      <c r="I143" s="1087">
        <v>5</v>
      </c>
      <c r="J143" s="1087">
        <v>10</v>
      </c>
      <c r="K143" s="774" t="s">
        <v>372</v>
      </c>
      <c r="L143" s="750">
        <v>350</v>
      </c>
      <c r="M143" s="775"/>
      <c r="N143" s="784">
        <v>100</v>
      </c>
    </row>
    <row r="144" spans="1:14" ht="15.75" customHeight="1">
      <c r="A144" s="1607"/>
      <c r="B144" s="1608"/>
      <c r="C144" s="1624"/>
      <c r="D144" s="1625"/>
      <c r="E144" s="1625"/>
      <c r="F144" s="1197"/>
      <c r="G144" s="1122"/>
      <c r="H144" s="1440"/>
      <c r="I144" s="1440"/>
      <c r="J144" s="1440"/>
      <c r="K144" s="918" t="s">
        <v>762</v>
      </c>
      <c r="L144" s="791">
        <v>1</v>
      </c>
      <c r="M144" s="770"/>
      <c r="N144" s="919"/>
    </row>
    <row r="145" spans="1:14" ht="22.5" customHeight="1">
      <c r="A145" s="1607"/>
      <c r="B145" s="1608"/>
      <c r="C145" s="1626"/>
      <c r="D145" s="1308"/>
      <c r="E145" s="1308"/>
      <c r="F145" s="1414"/>
      <c r="G145" s="1144"/>
      <c r="H145" s="1440"/>
      <c r="I145" s="1440"/>
      <c r="J145" s="1440"/>
      <c r="K145" s="777" t="s">
        <v>635</v>
      </c>
      <c r="L145" s="752">
        <v>5</v>
      </c>
      <c r="M145" s="745"/>
      <c r="N145" s="746"/>
    </row>
    <row r="146" spans="1:14" ht="15.75" customHeight="1" thickBot="1">
      <c r="A146" s="1607"/>
      <c r="B146" s="1608"/>
      <c r="C146" s="1312"/>
      <c r="D146" s="1313"/>
      <c r="E146" s="1313"/>
      <c r="F146" s="1363"/>
      <c r="G146" s="1364"/>
      <c r="H146" s="1490"/>
      <c r="I146" s="1490"/>
      <c r="J146" s="1490"/>
      <c r="K146" s="785" t="s">
        <v>734</v>
      </c>
      <c r="L146" s="788">
        <v>0.5</v>
      </c>
      <c r="M146" s="788">
        <v>0.5</v>
      </c>
      <c r="N146" s="787"/>
    </row>
    <row r="147" spans="1:14" ht="13.5" thickBot="1">
      <c r="A147" s="1607"/>
      <c r="B147" s="1607"/>
      <c r="C147" s="1176" t="s">
        <v>76</v>
      </c>
      <c r="D147" s="1651"/>
      <c r="E147" s="1651"/>
      <c r="F147" s="1651"/>
      <c r="G147" s="1651"/>
      <c r="H147" s="300">
        <f>H143</f>
        <v>37.5</v>
      </c>
      <c r="I147" s="301">
        <f>I143</f>
        <v>5</v>
      </c>
      <c r="J147" s="301">
        <f>J143</f>
        <v>10</v>
      </c>
      <c r="K147" s="249"/>
      <c r="L147" s="76"/>
      <c r="M147" s="76"/>
      <c r="N147" s="129"/>
    </row>
    <row r="148" spans="1:14" ht="23.25" customHeight="1">
      <c r="A148" s="1607"/>
      <c r="B148" s="1608"/>
      <c r="C148" s="1076" t="s">
        <v>830</v>
      </c>
      <c r="D148" s="1152"/>
      <c r="E148" s="1152"/>
      <c r="F148" s="1362" t="s">
        <v>704</v>
      </c>
      <c r="G148" s="1072" t="s">
        <v>79</v>
      </c>
      <c r="H148" s="1074">
        <v>40.299999999999997</v>
      </c>
      <c r="I148" s="1074">
        <v>0</v>
      </c>
      <c r="J148" s="1074">
        <v>0</v>
      </c>
      <c r="K148" s="774" t="s">
        <v>735</v>
      </c>
      <c r="L148" s="750">
        <v>1</v>
      </c>
      <c r="M148" s="734"/>
      <c r="N148" s="776"/>
    </row>
    <row r="149" spans="1:14" ht="23.25" customHeight="1">
      <c r="A149" s="1607"/>
      <c r="B149" s="1608"/>
      <c r="C149" s="1626"/>
      <c r="D149" s="1308"/>
      <c r="E149" s="1308"/>
      <c r="F149" s="1414"/>
      <c r="G149" s="1144"/>
      <c r="H149" s="1089"/>
      <c r="I149" s="1089"/>
      <c r="J149" s="1089"/>
      <c r="K149" s="777" t="s">
        <v>636</v>
      </c>
      <c r="L149" s="752">
        <v>120</v>
      </c>
      <c r="M149" s="755"/>
      <c r="N149" s="756"/>
    </row>
    <row r="150" spans="1:14" ht="23.25" customHeight="1" thickBot="1">
      <c r="A150" s="1607"/>
      <c r="B150" s="1608"/>
      <c r="C150" s="1312"/>
      <c r="D150" s="1313"/>
      <c r="E150" s="1313"/>
      <c r="F150" s="1363"/>
      <c r="G150" s="1364"/>
      <c r="H150" s="1360"/>
      <c r="I150" s="1360"/>
      <c r="J150" s="1360"/>
      <c r="K150" s="785" t="s">
        <v>637</v>
      </c>
      <c r="L150" s="786">
        <v>330</v>
      </c>
      <c r="M150" s="789"/>
      <c r="N150" s="790"/>
    </row>
    <row r="151" spans="1:14" ht="13.5" thickBot="1">
      <c r="A151" s="1607"/>
      <c r="B151" s="1607"/>
      <c r="C151" s="1106" t="s">
        <v>76</v>
      </c>
      <c r="D151" s="1628"/>
      <c r="E151" s="1628"/>
      <c r="F151" s="1628"/>
      <c r="G151" s="1628"/>
      <c r="H151" s="272">
        <f>H148</f>
        <v>40.299999999999997</v>
      </c>
      <c r="I151" s="273">
        <f>I148</f>
        <v>0</v>
      </c>
      <c r="J151" s="273">
        <f>J148</f>
        <v>0</v>
      </c>
      <c r="K151" s="245"/>
      <c r="L151" s="162"/>
      <c r="M151" s="162"/>
      <c r="N151" s="130"/>
    </row>
    <row r="152" spans="1:14" ht="39" customHeight="1" thickBot="1">
      <c r="A152" s="1607"/>
      <c r="B152" s="1607"/>
      <c r="C152" s="1076" t="s">
        <v>831</v>
      </c>
      <c r="D152" s="1677"/>
      <c r="E152" s="1677"/>
      <c r="F152" s="655" t="s">
        <v>638</v>
      </c>
      <c r="G152" s="638" t="s">
        <v>79</v>
      </c>
      <c r="H152" s="928">
        <v>10</v>
      </c>
      <c r="I152" s="658">
        <v>10</v>
      </c>
      <c r="J152" s="658">
        <v>0</v>
      </c>
      <c r="K152" s="232" t="s">
        <v>639</v>
      </c>
      <c r="L152" s="797">
        <v>600</v>
      </c>
      <c r="M152" s="750">
        <v>626</v>
      </c>
      <c r="N152" s="784"/>
    </row>
    <row r="153" spans="1:14" ht="13.5" thickBot="1">
      <c r="A153" s="1607"/>
      <c r="B153" s="1607"/>
      <c r="C153" s="1100" t="s">
        <v>76</v>
      </c>
      <c r="D153" s="1315"/>
      <c r="E153" s="1315"/>
      <c r="F153" s="1315"/>
      <c r="G153" s="1315"/>
      <c r="H153" s="297">
        <f>H152</f>
        <v>10</v>
      </c>
      <c r="I153" s="284">
        <f>I152</f>
        <v>10</v>
      </c>
      <c r="J153" s="284">
        <f>J152</f>
        <v>0</v>
      </c>
      <c r="K153" s="156"/>
      <c r="L153" s="102"/>
      <c r="M153" s="102"/>
      <c r="N153" s="127"/>
    </row>
    <row r="154" spans="1:14" ht="24" customHeight="1" thickBot="1">
      <c r="A154" s="1607"/>
      <c r="B154" s="1607"/>
      <c r="C154" s="1076" t="s">
        <v>832</v>
      </c>
      <c r="D154" s="1677"/>
      <c r="E154" s="1677"/>
      <c r="F154" s="655" t="s">
        <v>147</v>
      </c>
      <c r="G154" s="638" t="s">
        <v>79</v>
      </c>
      <c r="H154" s="928">
        <v>26</v>
      </c>
      <c r="I154" s="658">
        <v>0</v>
      </c>
      <c r="J154" s="658">
        <v>0</v>
      </c>
      <c r="K154" s="232" t="s">
        <v>640</v>
      </c>
      <c r="L154" s="797">
        <v>220</v>
      </c>
      <c r="M154" s="775"/>
      <c r="N154" s="784"/>
    </row>
    <row r="155" spans="1:14" ht="13.5" thickBot="1">
      <c r="A155" s="1607"/>
      <c r="B155" s="1607"/>
      <c r="C155" s="1100" t="s">
        <v>76</v>
      </c>
      <c r="D155" s="1616"/>
      <c r="E155" s="1616"/>
      <c r="F155" s="1616"/>
      <c r="G155" s="1616"/>
      <c r="H155" s="297">
        <f>H154</f>
        <v>26</v>
      </c>
      <c r="I155" s="284">
        <f>I154</f>
        <v>0</v>
      </c>
      <c r="J155" s="284">
        <f>J154</f>
        <v>0</v>
      </c>
      <c r="K155" s="156"/>
      <c r="L155" s="102"/>
      <c r="M155" s="102"/>
      <c r="N155" s="127"/>
    </row>
    <row r="156" spans="1:14" ht="30.75" customHeight="1" thickBot="1">
      <c r="A156" s="1607"/>
      <c r="B156" s="1607"/>
      <c r="C156" s="1076" t="s">
        <v>833</v>
      </c>
      <c r="D156" s="1677"/>
      <c r="E156" s="1677"/>
      <c r="F156" s="664" t="s">
        <v>176</v>
      </c>
      <c r="G156" s="638" t="s">
        <v>79</v>
      </c>
      <c r="H156" s="928">
        <v>12.6</v>
      </c>
      <c r="I156" s="658">
        <v>10.5</v>
      </c>
      <c r="J156" s="658">
        <v>3.5</v>
      </c>
      <c r="K156" s="232" t="s">
        <v>639</v>
      </c>
      <c r="L156" s="797">
        <v>360</v>
      </c>
      <c r="M156" s="750">
        <v>300</v>
      </c>
      <c r="N156" s="793">
        <v>100</v>
      </c>
    </row>
    <row r="157" spans="1:14" ht="13.5" thickBot="1">
      <c r="A157" s="1607"/>
      <c r="B157" s="1607"/>
      <c r="C157" s="1126" t="s">
        <v>76</v>
      </c>
      <c r="D157" s="1670"/>
      <c r="E157" s="1670"/>
      <c r="F157" s="1670"/>
      <c r="G157" s="1670"/>
      <c r="H157" s="293">
        <f>H156</f>
        <v>12.6</v>
      </c>
      <c r="I157" s="294">
        <f>I156</f>
        <v>10.5</v>
      </c>
      <c r="J157" s="294">
        <f>J156</f>
        <v>3.5</v>
      </c>
      <c r="K157" s="157"/>
      <c r="L157" s="133"/>
      <c r="M157" s="133"/>
      <c r="N157" s="134"/>
    </row>
    <row r="158" spans="1:14" ht="25.5" customHeight="1">
      <c r="A158" s="1607"/>
      <c r="B158" s="1608"/>
      <c r="C158" s="1076" t="s">
        <v>834</v>
      </c>
      <c r="D158" s="1677"/>
      <c r="E158" s="1677"/>
      <c r="F158" s="794" t="s">
        <v>134</v>
      </c>
      <c r="G158" s="638" t="s">
        <v>79</v>
      </c>
      <c r="H158" s="928">
        <v>14.2</v>
      </c>
      <c r="I158" s="658">
        <v>15</v>
      </c>
      <c r="J158" s="658">
        <v>0</v>
      </c>
      <c r="K158" s="774" t="s">
        <v>736</v>
      </c>
      <c r="L158" s="750">
        <v>480</v>
      </c>
      <c r="M158" s="750">
        <v>484</v>
      </c>
      <c r="N158" s="776"/>
    </row>
    <row r="159" spans="1:14" ht="13.5" thickBot="1">
      <c r="A159" s="1607"/>
      <c r="B159" s="1608"/>
      <c r="C159" s="1680"/>
      <c r="D159" s="1681"/>
      <c r="E159" s="1681"/>
      <c r="F159" s="779" t="s">
        <v>112</v>
      </c>
      <c r="G159" s="462" t="s">
        <v>79</v>
      </c>
      <c r="H159" s="938">
        <v>600</v>
      </c>
      <c r="I159" s="667">
        <v>0</v>
      </c>
      <c r="J159" s="667">
        <v>0</v>
      </c>
      <c r="K159" s="781" t="s">
        <v>641</v>
      </c>
      <c r="L159" s="248">
        <v>1</v>
      </c>
      <c r="M159" s="789"/>
      <c r="N159" s="790"/>
    </row>
    <row r="160" spans="1:14" ht="13.5" thickBot="1">
      <c r="A160" s="1607"/>
      <c r="B160" s="1607"/>
      <c r="C160" s="1176" t="s">
        <v>76</v>
      </c>
      <c r="D160" s="1651"/>
      <c r="E160" s="1651"/>
      <c r="F160" s="1651"/>
      <c r="G160" s="1651"/>
      <c r="H160" s="300">
        <f>H158+H159</f>
        <v>614.20000000000005</v>
      </c>
      <c r="I160" s="301">
        <f>I158+I159</f>
        <v>15</v>
      </c>
      <c r="J160" s="301">
        <f>J158+J159</f>
        <v>0</v>
      </c>
      <c r="K160" s="249"/>
      <c r="L160" s="76"/>
      <c r="M160" s="76"/>
      <c r="N160" s="129"/>
    </row>
    <row r="161" spans="1:18" ht="21.75" customHeight="1">
      <c r="A161" s="1607"/>
      <c r="B161" s="1608"/>
      <c r="C161" s="1076" t="s">
        <v>835</v>
      </c>
      <c r="D161" s="1152"/>
      <c r="E161" s="1152"/>
      <c r="F161" s="1362" t="s">
        <v>649</v>
      </c>
      <c r="G161" s="1072" t="s">
        <v>79</v>
      </c>
      <c r="H161" s="1074">
        <v>9.9</v>
      </c>
      <c r="I161" s="1074">
        <v>5</v>
      </c>
      <c r="J161" s="1074">
        <v>5</v>
      </c>
      <c r="K161" s="774" t="s">
        <v>737</v>
      </c>
      <c r="L161" s="238">
        <v>402</v>
      </c>
      <c r="M161" s="238">
        <v>200</v>
      </c>
      <c r="N161" s="239">
        <v>200</v>
      </c>
    </row>
    <row r="162" spans="1:18" ht="21.75" customHeight="1" thickBot="1">
      <c r="A162" s="1607"/>
      <c r="B162" s="1608"/>
      <c r="C162" s="1312"/>
      <c r="D162" s="1313"/>
      <c r="E162" s="1313"/>
      <c r="F162" s="1363"/>
      <c r="G162" s="1364"/>
      <c r="H162" s="1360"/>
      <c r="I162" s="1360"/>
      <c r="J162" s="1360"/>
      <c r="K162" s="785" t="s">
        <v>471</v>
      </c>
      <c r="L162" s="786">
        <v>5</v>
      </c>
      <c r="M162" s="789"/>
      <c r="N162" s="790"/>
    </row>
    <row r="163" spans="1:18" ht="16.5" customHeight="1" thickBot="1">
      <c r="A163" s="1607"/>
      <c r="B163" s="1607"/>
      <c r="C163" s="1176" t="s">
        <v>76</v>
      </c>
      <c r="D163" s="1682"/>
      <c r="E163" s="1682"/>
      <c r="F163" s="1682"/>
      <c r="G163" s="1682"/>
      <c r="H163" s="628">
        <f>H161</f>
        <v>9.9</v>
      </c>
      <c r="I163" s="60">
        <f>I161</f>
        <v>5</v>
      </c>
      <c r="J163" s="60">
        <f>J161</f>
        <v>5</v>
      </c>
      <c r="K163" s="245"/>
      <c r="L163" s="162"/>
      <c r="M163" s="162"/>
      <c r="N163" s="130"/>
    </row>
    <row r="164" spans="1:18" ht="29.25" customHeight="1" thickBot="1">
      <c r="A164" s="1607"/>
      <c r="B164" s="1607"/>
      <c r="C164" s="1076" t="s">
        <v>836</v>
      </c>
      <c r="D164" s="1677"/>
      <c r="E164" s="1677"/>
      <c r="F164" s="648" t="s">
        <v>112</v>
      </c>
      <c r="G164" s="653" t="s">
        <v>79</v>
      </c>
      <c r="H164" s="929">
        <v>145.5</v>
      </c>
      <c r="I164" s="639">
        <v>0</v>
      </c>
      <c r="J164" s="639">
        <v>0</v>
      </c>
      <c r="K164" s="661" t="s">
        <v>738</v>
      </c>
      <c r="L164" s="692">
        <v>100</v>
      </c>
      <c r="M164" s="692"/>
      <c r="N164" s="644"/>
      <c r="R164" s="226">
        <v>2</v>
      </c>
    </row>
    <row r="165" spans="1:18" ht="13.5" thickBot="1">
      <c r="A165" s="1607"/>
      <c r="B165" s="1607"/>
      <c r="C165" s="1100" t="s">
        <v>76</v>
      </c>
      <c r="D165" s="1616"/>
      <c r="E165" s="1616"/>
      <c r="F165" s="1616"/>
      <c r="G165" s="1616"/>
      <c r="H165" s="297">
        <f>H164</f>
        <v>145.5</v>
      </c>
      <c r="I165" s="284">
        <f t="shared" ref="I165:J165" si="7">I164</f>
        <v>0</v>
      </c>
      <c r="J165" s="284">
        <f t="shared" si="7"/>
        <v>0</v>
      </c>
      <c r="K165" s="156"/>
      <c r="L165" s="102"/>
      <c r="M165" s="102"/>
      <c r="N165" s="127"/>
    </row>
    <row r="166" spans="1:18" ht="27.75" customHeight="1">
      <c r="A166" s="1607"/>
      <c r="B166" s="1607"/>
      <c r="C166" s="1076" t="s">
        <v>837</v>
      </c>
      <c r="D166" s="1152"/>
      <c r="E166" s="1152"/>
      <c r="F166" s="1152" t="s">
        <v>112</v>
      </c>
      <c r="G166" s="638" t="s">
        <v>79</v>
      </c>
      <c r="H166" s="732">
        <v>29.5</v>
      </c>
      <c r="I166" s="646">
        <v>0</v>
      </c>
      <c r="J166" s="646">
        <v>0</v>
      </c>
      <c r="K166" s="255" t="s">
        <v>369</v>
      </c>
      <c r="L166" s="241">
        <v>6</v>
      </c>
      <c r="M166" s="241"/>
      <c r="N166" s="642"/>
      <c r="R166" s="226">
        <v>2</v>
      </c>
    </row>
    <row r="167" spans="1:18" ht="30" customHeight="1">
      <c r="A167" s="1607"/>
      <c r="B167" s="1607"/>
      <c r="C167" s="1626"/>
      <c r="D167" s="1308"/>
      <c r="E167" s="1308"/>
      <c r="F167" s="1668"/>
      <c r="G167" s="733" t="s">
        <v>78</v>
      </c>
      <c r="H167" s="937">
        <v>26.3</v>
      </c>
      <c r="I167" s="666">
        <v>0</v>
      </c>
      <c r="J167" s="646">
        <v>0</v>
      </c>
      <c r="K167" s="253" t="s">
        <v>370</v>
      </c>
      <c r="L167" s="733">
        <v>56</v>
      </c>
      <c r="M167" s="733"/>
      <c r="N167" s="799"/>
    </row>
    <row r="168" spans="1:18" ht="23.25" customHeight="1" thickBot="1">
      <c r="A168" s="1607"/>
      <c r="B168" s="1607"/>
      <c r="C168" s="1694"/>
      <c r="D168" s="1519"/>
      <c r="E168" s="1519"/>
      <c r="F168" s="1688"/>
      <c r="G168" s="652" t="s">
        <v>98</v>
      </c>
      <c r="H168" s="467">
        <v>298.2</v>
      </c>
      <c r="I168" s="467">
        <v>0</v>
      </c>
      <c r="J168" s="646">
        <v>0</v>
      </c>
      <c r="K168" s="358" t="s">
        <v>346</v>
      </c>
      <c r="L168" s="462">
        <v>100</v>
      </c>
      <c r="M168" s="380"/>
      <c r="N168" s="800"/>
      <c r="R168" s="226">
        <v>2</v>
      </c>
    </row>
    <row r="169" spans="1:18" ht="13.5" thickBot="1">
      <c r="A169" s="1607"/>
      <c r="B169" s="1607"/>
      <c r="C169" s="1205" t="s">
        <v>76</v>
      </c>
      <c r="D169" s="1666"/>
      <c r="E169" s="1666"/>
      <c r="F169" s="1666"/>
      <c r="G169" s="1666"/>
      <c r="H169" s="321">
        <f>H166+H167+H168</f>
        <v>354</v>
      </c>
      <c r="I169" s="321">
        <f>I166+I167+I168</f>
        <v>0</v>
      </c>
      <c r="J169" s="321">
        <f>J166+J167+J168</f>
        <v>0</v>
      </c>
      <c r="K169" s="227"/>
      <c r="L169" s="102"/>
      <c r="M169" s="102"/>
      <c r="N169" s="127"/>
    </row>
    <row r="170" spans="1:18" ht="25.5" customHeight="1">
      <c r="A170" s="1607"/>
      <c r="B170" s="1607"/>
      <c r="C170" s="1695" t="s">
        <v>841</v>
      </c>
      <c r="D170" s="1696"/>
      <c r="E170" s="1696"/>
      <c r="F170" s="1701" t="s">
        <v>112</v>
      </c>
      <c r="G170" s="638" t="s">
        <v>79</v>
      </c>
      <c r="H170" s="732">
        <v>300</v>
      </c>
      <c r="I170" s="646">
        <v>1.5</v>
      </c>
      <c r="J170" s="646">
        <v>0</v>
      </c>
      <c r="K170" s="801" t="s">
        <v>756</v>
      </c>
      <c r="L170" s="241">
        <v>4</v>
      </c>
      <c r="M170" s="241">
        <v>2</v>
      </c>
      <c r="N170" s="642"/>
      <c r="R170" s="226">
        <v>2</v>
      </c>
    </row>
    <row r="171" spans="1:18" ht="13.5" customHeight="1">
      <c r="A171" s="1607"/>
      <c r="B171" s="1607"/>
      <c r="C171" s="1697"/>
      <c r="D171" s="1698"/>
      <c r="E171" s="1698"/>
      <c r="F171" s="1702"/>
      <c r="G171" s="733" t="s">
        <v>78</v>
      </c>
      <c r="H171" s="937">
        <v>31</v>
      </c>
      <c r="I171" s="666">
        <v>1.5</v>
      </c>
      <c r="J171" s="646">
        <v>0</v>
      </c>
      <c r="K171" s="1731" t="s">
        <v>346</v>
      </c>
      <c r="L171" s="1155">
        <v>70</v>
      </c>
      <c r="M171" s="1155">
        <v>100</v>
      </c>
      <c r="N171" s="1724"/>
    </row>
    <row r="172" spans="1:18" ht="13.5" customHeight="1" thickBot="1">
      <c r="A172" s="1607"/>
      <c r="B172" s="1607"/>
      <c r="C172" s="1699"/>
      <c r="D172" s="1700"/>
      <c r="E172" s="1700"/>
      <c r="F172" s="1703"/>
      <c r="G172" s="652" t="s">
        <v>98</v>
      </c>
      <c r="H172" s="467">
        <v>356</v>
      </c>
      <c r="I172" s="467">
        <v>18</v>
      </c>
      <c r="J172" s="646">
        <v>0</v>
      </c>
      <c r="K172" s="1732"/>
      <c r="L172" s="1733"/>
      <c r="M172" s="1733"/>
      <c r="N172" s="1725"/>
      <c r="R172" s="226">
        <v>2</v>
      </c>
    </row>
    <row r="173" spans="1:18" ht="17.25" customHeight="1" thickBot="1">
      <c r="A173" s="1607"/>
      <c r="B173" s="1607"/>
      <c r="C173" s="1126" t="s">
        <v>76</v>
      </c>
      <c r="D173" s="1618"/>
      <c r="E173" s="1618"/>
      <c r="F173" s="1618"/>
      <c r="G173" s="1618"/>
      <c r="H173" s="636">
        <f>H170+H171+H172</f>
        <v>687</v>
      </c>
      <c r="I173" s="80">
        <f>I170+I171+I172</f>
        <v>21</v>
      </c>
      <c r="J173" s="80">
        <f>J170+J171+J172</f>
        <v>0</v>
      </c>
      <c r="K173" s="229"/>
      <c r="L173" s="133"/>
      <c r="M173" s="133"/>
      <c r="N173" s="134"/>
    </row>
    <row r="174" spans="1:18" ht="13.9" customHeight="1">
      <c r="A174" s="1607"/>
      <c r="B174" s="1608"/>
      <c r="C174" s="1076" t="s">
        <v>838</v>
      </c>
      <c r="D174" s="1152"/>
      <c r="E174" s="1152"/>
      <c r="F174" s="1691" t="s">
        <v>112</v>
      </c>
      <c r="G174" s="638" t="s">
        <v>79</v>
      </c>
      <c r="H174" s="322">
        <v>207</v>
      </c>
      <c r="I174" s="962">
        <v>0</v>
      </c>
      <c r="J174" s="658">
        <v>0</v>
      </c>
      <c r="K174" s="1748" t="s">
        <v>742</v>
      </c>
      <c r="L174" s="1480">
        <v>1</v>
      </c>
      <c r="M174" s="1480"/>
      <c r="N174" s="1291"/>
      <c r="R174" s="226">
        <v>2</v>
      </c>
    </row>
    <row r="175" spans="1:18" ht="13.9" customHeight="1">
      <c r="A175" s="1607"/>
      <c r="B175" s="1608"/>
      <c r="C175" s="1626"/>
      <c r="D175" s="1308"/>
      <c r="E175" s="1308"/>
      <c r="F175" s="1692"/>
      <c r="G175" s="733" t="s">
        <v>78</v>
      </c>
      <c r="H175" s="948">
        <v>24.8</v>
      </c>
      <c r="I175" s="988">
        <v>0</v>
      </c>
      <c r="J175" s="460">
        <v>0</v>
      </c>
      <c r="K175" s="1398"/>
      <c r="L175" s="1403"/>
      <c r="M175" s="1403"/>
      <c r="N175" s="1747"/>
    </row>
    <row r="176" spans="1:18" ht="19.149999999999999" customHeight="1" thickBot="1">
      <c r="A176" s="1607"/>
      <c r="B176" s="1608"/>
      <c r="C176" s="1312"/>
      <c r="D176" s="1313"/>
      <c r="E176" s="1313"/>
      <c r="F176" s="1693"/>
      <c r="G176" s="462" t="s">
        <v>98</v>
      </c>
      <c r="H176" s="945">
        <v>140</v>
      </c>
      <c r="I176" s="989">
        <v>0</v>
      </c>
      <c r="J176" s="256">
        <v>0</v>
      </c>
      <c r="K176" s="390" t="s">
        <v>346</v>
      </c>
      <c r="L176" s="462">
        <v>100</v>
      </c>
      <c r="M176" s="380"/>
      <c r="N176" s="802"/>
      <c r="R176" s="226">
        <v>2</v>
      </c>
    </row>
    <row r="177" spans="1:18" ht="13.5" thickBot="1">
      <c r="A177" s="1607"/>
      <c r="B177" s="1607"/>
      <c r="C177" s="1176" t="s">
        <v>76</v>
      </c>
      <c r="D177" s="1651"/>
      <c r="E177" s="1651"/>
      <c r="F177" s="1651"/>
      <c r="G177" s="1651"/>
      <c r="H177" s="272">
        <f>H174+H175+H176</f>
        <v>371.8</v>
      </c>
      <c r="I177" s="273">
        <f>I174</f>
        <v>0</v>
      </c>
      <c r="J177" s="273">
        <f>J174</f>
        <v>0</v>
      </c>
      <c r="K177" s="245"/>
      <c r="L177" s="162"/>
      <c r="M177" s="162"/>
      <c r="N177" s="130"/>
    </row>
    <row r="178" spans="1:18" ht="33" customHeight="1">
      <c r="A178" s="1607"/>
      <c r="B178" s="1607"/>
      <c r="C178" s="1076" t="s">
        <v>839</v>
      </c>
      <c r="D178" s="1152"/>
      <c r="E178" s="1152"/>
      <c r="F178" s="1691" t="s">
        <v>112</v>
      </c>
      <c r="G178" s="638" t="s">
        <v>79</v>
      </c>
      <c r="H178" s="322">
        <v>107</v>
      </c>
      <c r="I178" s="928">
        <v>0</v>
      </c>
      <c r="J178" s="928">
        <v>0</v>
      </c>
      <c r="K178" s="1748" t="s">
        <v>742</v>
      </c>
      <c r="L178" s="1480">
        <v>1</v>
      </c>
      <c r="M178" s="1480"/>
      <c r="N178" s="1291"/>
      <c r="R178" s="226">
        <v>2</v>
      </c>
    </row>
    <row r="179" spans="1:18">
      <c r="A179" s="1607"/>
      <c r="B179" s="1607"/>
      <c r="C179" s="1626"/>
      <c r="D179" s="1308"/>
      <c r="E179" s="1308"/>
      <c r="F179" s="1692"/>
      <c r="G179" s="733" t="s">
        <v>78</v>
      </c>
      <c r="H179" s="948">
        <v>8.4</v>
      </c>
      <c r="I179" s="988">
        <v>0</v>
      </c>
      <c r="J179" s="930">
        <v>0</v>
      </c>
      <c r="K179" s="1398"/>
      <c r="L179" s="1403"/>
      <c r="M179" s="1403"/>
      <c r="N179" s="1747"/>
    </row>
    <row r="180" spans="1:18" ht="33" customHeight="1" thickBot="1">
      <c r="A180" s="1607"/>
      <c r="B180" s="1607"/>
      <c r="C180" s="1312"/>
      <c r="D180" s="1313"/>
      <c r="E180" s="1313"/>
      <c r="F180" s="1693"/>
      <c r="G180" s="462" t="s">
        <v>98</v>
      </c>
      <c r="H180" s="945">
        <v>47.3</v>
      </c>
      <c r="I180" s="989">
        <v>0</v>
      </c>
      <c r="J180" s="934">
        <v>0</v>
      </c>
      <c r="K180" s="390" t="s">
        <v>346</v>
      </c>
      <c r="L180" s="462">
        <v>100</v>
      </c>
      <c r="M180" s="380"/>
      <c r="N180" s="802"/>
      <c r="R180" s="226">
        <v>2</v>
      </c>
    </row>
    <row r="181" spans="1:18" ht="13.5" thickBot="1">
      <c r="A181" s="1607"/>
      <c r="B181" s="1607"/>
      <c r="C181" s="1176" t="s">
        <v>76</v>
      </c>
      <c r="D181" s="1651"/>
      <c r="E181" s="1651"/>
      <c r="F181" s="1651"/>
      <c r="G181" s="1651"/>
      <c r="H181" s="272">
        <f>H178+H179+H180</f>
        <v>162.69999999999999</v>
      </c>
      <c r="I181" s="273">
        <f>I178</f>
        <v>0</v>
      </c>
      <c r="J181" s="273">
        <f>J178</f>
        <v>0</v>
      </c>
      <c r="K181" s="245"/>
      <c r="L181" s="162"/>
      <c r="M181" s="162"/>
      <c r="N181" s="130"/>
    </row>
    <row r="182" spans="1:18" ht="39" customHeight="1" thickBot="1">
      <c r="A182" s="1607"/>
      <c r="B182" s="1607"/>
      <c r="C182" s="1330" t="s">
        <v>840</v>
      </c>
      <c r="D182" s="1343"/>
      <c r="E182" s="1344"/>
      <c r="F182" s="664" t="s">
        <v>112</v>
      </c>
      <c r="G182" s="638" t="s">
        <v>79</v>
      </c>
      <c r="H182" s="928">
        <v>2.4</v>
      </c>
      <c r="I182" s="658">
        <v>1.6</v>
      </c>
      <c r="J182" s="658">
        <v>0</v>
      </c>
      <c r="K182" s="803" t="s">
        <v>380</v>
      </c>
      <c r="L182" s="692">
        <v>3</v>
      </c>
      <c r="M182" s="238">
        <v>2</v>
      </c>
      <c r="N182" s="239"/>
      <c r="R182" s="226">
        <v>2</v>
      </c>
    </row>
    <row r="183" spans="1:18" ht="13.5" thickBot="1">
      <c r="A183" s="1607"/>
      <c r="B183" s="1607"/>
      <c r="C183" s="1126" t="s">
        <v>76</v>
      </c>
      <c r="D183" s="1386"/>
      <c r="E183" s="1386"/>
      <c r="F183" s="1386"/>
      <c r="G183" s="1421"/>
      <c r="H183" s="293">
        <f>H182</f>
        <v>2.4</v>
      </c>
      <c r="I183" s="294">
        <f>I182</f>
        <v>1.6</v>
      </c>
      <c r="J183" s="294">
        <f>J182</f>
        <v>0</v>
      </c>
      <c r="K183" s="157"/>
      <c r="L183" s="133"/>
      <c r="M183" s="133"/>
      <c r="N183" s="134"/>
    </row>
    <row r="184" spans="1:18" ht="13.5" thickBot="1">
      <c r="A184" s="1607"/>
      <c r="B184" s="1100" t="s">
        <v>77</v>
      </c>
      <c r="C184" s="1315"/>
      <c r="D184" s="1315"/>
      <c r="E184" s="1315"/>
      <c r="F184" s="1315"/>
      <c r="G184" s="1315"/>
      <c r="H184" s="351">
        <f>H106+H108+H112+H116+H118+H121+H124+H131+H133+H135+H138+H140+H142+H147+H151+H153+H155+H157+H160+H165+H169++H163+H173+H177+H183+H181+H127</f>
        <v>2795.4</v>
      </c>
      <c r="I184" s="351">
        <f>I106+I108+I112+I116+I118+I121+I124+I131+I133+I135+I138+I140+I142+I147+I151+I153+I155+I157+I160+I165+I169++I163+I173+I177+I183+I181+I127</f>
        <v>345.1</v>
      </c>
      <c r="J184" s="351">
        <f>J106+J108+J112+J116+J118+J121+J124+J131+J133+J135+J138+J140+J142+J147+J151+J153+J155+J157+J160+J165+J169++J163+J173+J177+J183+J181+J127</f>
        <v>155.5</v>
      </c>
      <c r="K184" s="227"/>
      <c r="L184" s="102"/>
      <c r="M184" s="102"/>
      <c r="N184" s="127"/>
    </row>
    <row r="185" spans="1:18" ht="25.5" customHeight="1">
      <c r="A185" s="1607"/>
      <c r="B185" s="1690" t="s">
        <v>705</v>
      </c>
      <c r="C185" s="1624" t="s">
        <v>654</v>
      </c>
      <c r="D185" s="1625"/>
      <c r="E185" s="1625"/>
      <c r="F185" s="1755" t="s">
        <v>142</v>
      </c>
      <c r="G185" s="1121" t="s">
        <v>79</v>
      </c>
      <c r="H185" s="1440">
        <v>27.2</v>
      </c>
      <c r="I185" s="1440">
        <v>20</v>
      </c>
      <c r="J185" s="1440">
        <v>20</v>
      </c>
      <c r="K185" s="804" t="s">
        <v>743</v>
      </c>
      <c r="L185" s="466">
        <v>1</v>
      </c>
      <c r="M185" s="466">
        <v>1</v>
      </c>
      <c r="N185" s="805">
        <v>1</v>
      </c>
    </row>
    <row r="186" spans="1:18" ht="17.25" customHeight="1">
      <c r="A186" s="1607"/>
      <c r="B186" s="1690"/>
      <c r="C186" s="1624"/>
      <c r="D186" s="1625"/>
      <c r="E186" s="1625"/>
      <c r="F186" s="1756"/>
      <c r="G186" s="1121"/>
      <c r="H186" s="1108"/>
      <c r="I186" s="1108"/>
      <c r="J186" s="1108"/>
      <c r="K186" s="303" t="s">
        <v>650</v>
      </c>
      <c r="L186" s="704">
        <v>1</v>
      </c>
      <c r="M186" s="806"/>
      <c r="N186" s="807"/>
    </row>
    <row r="187" spans="1:18" ht="18.75" customHeight="1" thickBot="1">
      <c r="A187" s="1607"/>
      <c r="B187" s="1690"/>
      <c r="C187" s="1694"/>
      <c r="D187" s="1519"/>
      <c r="E187" s="1519"/>
      <c r="F187" s="996" t="s">
        <v>112</v>
      </c>
      <c r="G187" s="986" t="s">
        <v>79</v>
      </c>
      <c r="H187" s="467">
        <v>100</v>
      </c>
      <c r="I187" s="467">
        <v>0</v>
      </c>
      <c r="J187" s="467">
        <v>0</v>
      </c>
      <c r="K187" s="1043" t="s">
        <v>371</v>
      </c>
      <c r="L187" s="455">
        <v>1</v>
      </c>
      <c r="M187" s="481"/>
      <c r="N187" s="1011"/>
      <c r="R187" s="226">
        <v>2</v>
      </c>
    </row>
    <row r="188" spans="1:18" ht="13.5" thickBot="1">
      <c r="A188" s="1607"/>
      <c r="B188" s="1690"/>
      <c r="C188" s="1100" t="s">
        <v>76</v>
      </c>
      <c r="D188" s="1315"/>
      <c r="E188" s="1315"/>
      <c r="F188" s="1315"/>
      <c r="G188" s="1315"/>
      <c r="H188" s="321">
        <f>SUM(H185:H187)</f>
        <v>127.2</v>
      </c>
      <c r="I188" s="321">
        <f>SUM(I185:I187)</f>
        <v>20</v>
      </c>
      <c r="J188" s="321">
        <f>SUM(J185:J187)</f>
        <v>20</v>
      </c>
      <c r="K188" s="227"/>
      <c r="L188" s="102"/>
      <c r="M188" s="102"/>
      <c r="N188" s="127"/>
    </row>
    <row r="189" spans="1:18" ht="23.25" customHeight="1">
      <c r="A189" s="1607"/>
      <c r="B189" s="1690"/>
      <c r="C189" s="1624" t="s">
        <v>655</v>
      </c>
      <c r="D189" s="1625"/>
      <c r="E189" s="1625"/>
      <c r="F189" s="1446" t="s">
        <v>144</v>
      </c>
      <c r="G189" s="1121" t="s">
        <v>79</v>
      </c>
      <c r="H189" s="1492">
        <v>12</v>
      </c>
      <c r="I189" s="1492">
        <v>10</v>
      </c>
      <c r="J189" s="1492">
        <v>10</v>
      </c>
      <c r="K189" s="804" t="s">
        <v>626</v>
      </c>
      <c r="L189" s="241">
        <v>1</v>
      </c>
      <c r="M189" s="241">
        <v>1</v>
      </c>
      <c r="N189" s="805">
        <v>1</v>
      </c>
    </row>
    <row r="190" spans="1:18" ht="23.25" customHeight="1" thickBot="1">
      <c r="A190" s="1607"/>
      <c r="B190" s="1690"/>
      <c r="C190" s="1680"/>
      <c r="D190" s="1681"/>
      <c r="E190" s="1681"/>
      <c r="F190" s="1310"/>
      <c r="G190" s="1449"/>
      <c r="H190" s="1493"/>
      <c r="I190" s="1493"/>
      <c r="J190" s="1493"/>
      <c r="K190" s="254" t="s">
        <v>651</v>
      </c>
      <c r="L190" s="248">
        <v>1</v>
      </c>
      <c r="M190" s="248"/>
      <c r="N190" s="808"/>
    </row>
    <row r="191" spans="1:18" ht="13.5" thickBot="1">
      <c r="A191" s="1607"/>
      <c r="B191" s="1690"/>
      <c r="C191" s="1205" t="s">
        <v>76</v>
      </c>
      <c r="D191" s="1666"/>
      <c r="E191" s="1666"/>
      <c r="F191" s="1666"/>
      <c r="G191" s="1762"/>
      <c r="H191" s="320">
        <f>SUM(H189:H190)</f>
        <v>12</v>
      </c>
      <c r="I191" s="321">
        <f>SUM(I189:I190)</f>
        <v>10</v>
      </c>
      <c r="J191" s="335">
        <f>SUM(J189:J190)</f>
        <v>10</v>
      </c>
      <c r="K191" s="205"/>
      <c r="L191" s="102"/>
      <c r="M191" s="102"/>
      <c r="N191" s="127"/>
    </row>
    <row r="192" spans="1:18" ht="21.6" customHeight="1">
      <c r="A192" s="1607"/>
      <c r="B192" s="1690"/>
      <c r="C192" s="1076" t="s">
        <v>652</v>
      </c>
      <c r="D192" s="1152"/>
      <c r="E192" s="1152"/>
      <c r="F192" s="1152" t="s">
        <v>112</v>
      </c>
      <c r="G192" s="638" t="s">
        <v>79</v>
      </c>
      <c r="H192" s="735">
        <v>54</v>
      </c>
      <c r="I192" s="658">
        <v>0</v>
      </c>
      <c r="J192" s="658">
        <v>0</v>
      </c>
      <c r="K192" s="1405" t="s">
        <v>653</v>
      </c>
      <c r="L192" s="1480">
        <v>1</v>
      </c>
      <c r="M192" s="1480"/>
      <c r="N192" s="1291"/>
      <c r="R192" s="226">
        <v>2</v>
      </c>
    </row>
    <row r="193" spans="1:18" ht="21.6" customHeight="1" thickBot="1">
      <c r="A193" s="1607"/>
      <c r="B193" s="1690"/>
      <c r="C193" s="1622"/>
      <c r="D193" s="1623"/>
      <c r="E193" s="1623"/>
      <c r="F193" s="1623"/>
      <c r="G193" s="986" t="s">
        <v>78</v>
      </c>
      <c r="H193" s="960">
        <v>100</v>
      </c>
      <c r="I193" s="987">
        <v>0</v>
      </c>
      <c r="J193" s="987">
        <v>0</v>
      </c>
      <c r="K193" s="1261"/>
      <c r="L193" s="1411"/>
      <c r="M193" s="1411"/>
      <c r="N193" s="1754"/>
    </row>
    <row r="194" spans="1:18" ht="13.5" thickBot="1">
      <c r="A194" s="1607"/>
      <c r="B194" s="1690"/>
      <c r="C194" s="1100" t="s">
        <v>76</v>
      </c>
      <c r="D194" s="1315"/>
      <c r="E194" s="1315"/>
      <c r="F194" s="1315"/>
      <c r="G194" s="1315"/>
      <c r="H194" s="321">
        <f>SUM(H192:H193)</f>
        <v>154</v>
      </c>
      <c r="I194" s="321">
        <f t="shared" ref="I194:J194" si="8">SUM(I192:I193)</f>
        <v>0</v>
      </c>
      <c r="J194" s="321">
        <f t="shared" si="8"/>
        <v>0</v>
      </c>
      <c r="K194" s="205"/>
      <c r="L194" s="102"/>
      <c r="M194" s="102"/>
      <c r="N194" s="127"/>
    </row>
    <row r="195" spans="1:18" ht="42" customHeight="1" thickBot="1">
      <c r="A195" s="1607"/>
      <c r="B195" s="1690"/>
      <c r="C195" s="1612" t="s">
        <v>696</v>
      </c>
      <c r="D195" s="1446"/>
      <c r="E195" s="1446"/>
      <c r="F195" s="993" t="s">
        <v>112</v>
      </c>
      <c r="G195" s="969" t="s">
        <v>79</v>
      </c>
      <c r="H195" s="1001">
        <v>5</v>
      </c>
      <c r="I195" s="1001">
        <v>50</v>
      </c>
      <c r="J195" s="1001">
        <v>50</v>
      </c>
      <c r="K195" s="1043" t="s">
        <v>697</v>
      </c>
      <c r="L195" s="424">
        <v>1</v>
      </c>
      <c r="M195" s="424">
        <v>1</v>
      </c>
      <c r="N195" s="425">
        <v>1</v>
      </c>
      <c r="R195" s="226">
        <v>2</v>
      </c>
    </row>
    <row r="196" spans="1:18" ht="13.5" thickBot="1">
      <c r="A196" s="1607"/>
      <c r="B196" s="1690"/>
      <c r="C196" s="1100" t="s">
        <v>76</v>
      </c>
      <c r="D196" s="1315"/>
      <c r="E196" s="1315"/>
      <c r="F196" s="1315"/>
      <c r="G196" s="1315"/>
      <c r="H196" s="321">
        <f>SUM(H195:H195)</f>
        <v>5</v>
      </c>
      <c r="I196" s="321">
        <f>SUM(I195:I195)</f>
        <v>50</v>
      </c>
      <c r="J196" s="321">
        <f>SUM(J195:J195)</f>
        <v>50</v>
      </c>
      <c r="K196" s="227"/>
      <c r="L196" s="102"/>
      <c r="M196" s="102"/>
      <c r="N196" s="127"/>
    </row>
    <row r="197" spans="1:18" ht="40.5" customHeight="1" thickBot="1">
      <c r="A197" s="1607"/>
      <c r="B197" s="1690"/>
      <c r="C197" s="1612" t="s">
        <v>842</v>
      </c>
      <c r="D197" s="1446"/>
      <c r="E197" s="1446"/>
      <c r="F197" s="993" t="s">
        <v>112</v>
      </c>
      <c r="G197" s="969" t="s">
        <v>79</v>
      </c>
      <c r="H197" s="1001">
        <v>5.0999999999999996</v>
      </c>
      <c r="I197" s="1001">
        <f>H197</f>
        <v>5.0999999999999996</v>
      </c>
      <c r="J197" s="1001">
        <f>I197</f>
        <v>5.0999999999999996</v>
      </c>
      <c r="K197" s="1043" t="s">
        <v>656</v>
      </c>
      <c r="L197" s="424">
        <v>1</v>
      </c>
      <c r="M197" s="424">
        <v>1</v>
      </c>
      <c r="N197" s="425">
        <v>1</v>
      </c>
      <c r="R197" s="226">
        <v>1</v>
      </c>
    </row>
    <row r="198" spans="1:18" ht="13.5" thickBot="1">
      <c r="A198" s="1607"/>
      <c r="B198" s="1690"/>
      <c r="C198" s="1100" t="s">
        <v>76</v>
      </c>
      <c r="D198" s="1315"/>
      <c r="E198" s="1315"/>
      <c r="F198" s="1315"/>
      <c r="G198" s="1315"/>
      <c r="H198" s="321">
        <f>SUM(H197:H197)</f>
        <v>5.0999999999999996</v>
      </c>
      <c r="I198" s="321">
        <f>SUM(I197:I197)</f>
        <v>5.0999999999999996</v>
      </c>
      <c r="J198" s="321">
        <f>SUM(J197:J197)</f>
        <v>5.0999999999999996</v>
      </c>
      <c r="K198" s="227"/>
      <c r="L198" s="102"/>
      <c r="M198" s="102"/>
      <c r="N198" s="127"/>
    </row>
    <row r="199" spans="1:18" ht="13.5" customHeight="1">
      <c r="A199" s="1607"/>
      <c r="B199" s="1690"/>
      <c r="C199" s="1624" t="s">
        <v>744</v>
      </c>
      <c r="D199" s="1625"/>
      <c r="E199" s="1625"/>
      <c r="F199" s="1625" t="s">
        <v>112</v>
      </c>
      <c r="G199" s="970" t="s">
        <v>79</v>
      </c>
      <c r="H199" s="1042">
        <v>150</v>
      </c>
      <c r="I199" s="1002">
        <v>0</v>
      </c>
      <c r="J199" s="1002">
        <v>0</v>
      </c>
      <c r="K199" s="1766" t="s">
        <v>742</v>
      </c>
      <c r="L199" s="1767">
        <v>1</v>
      </c>
      <c r="M199" s="1767"/>
      <c r="N199" s="1768"/>
      <c r="R199" s="226">
        <v>2</v>
      </c>
    </row>
    <row r="200" spans="1:18">
      <c r="A200" s="1607"/>
      <c r="B200" s="1690"/>
      <c r="C200" s="1626"/>
      <c r="D200" s="1308"/>
      <c r="E200" s="1308"/>
      <c r="F200" s="1668"/>
      <c r="G200" s="733" t="s">
        <v>78</v>
      </c>
      <c r="H200" s="398">
        <v>17.2</v>
      </c>
      <c r="I200" s="398">
        <v>0</v>
      </c>
      <c r="J200" s="398">
        <v>0</v>
      </c>
      <c r="K200" s="1398"/>
      <c r="L200" s="1403"/>
      <c r="M200" s="1403"/>
      <c r="N200" s="1747"/>
    </row>
    <row r="201" spans="1:18" ht="13.5" thickBot="1">
      <c r="A201" s="1607"/>
      <c r="B201" s="1690"/>
      <c r="C201" s="1694"/>
      <c r="D201" s="1519"/>
      <c r="E201" s="1519"/>
      <c r="F201" s="1688"/>
      <c r="G201" s="973" t="s">
        <v>98</v>
      </c>
      <c r="H201" s="960">
        <v>97.8</v>
      </c>
      <c r="I201" s="960">
        <v>0</v>
      </c>
      <c r="J201" s="960">
        <v>0</v>
      </c>
      <c r="K201" s="481" t="s">
        <v>346</v>
      </c>
      <c r="L201" s="973">
        <v>100</v>
      </c>
      <c r="M201" s="709"/>
      <c r="N201" s="800"/>
      <c r="R201" s="226">
        <v>2</v>
      </c>
    </row>
    <row r="202" spans="1:18" ht="13.5" thickBot="1">
      <c r="A202" s="1607"/>
      <c r="B202" s="1690"/>
      <c r="C202" s="1100" t="s">
        <v>76</v>
      </c>
      <c r="D202" s="1315"/>
      <c r="E202" s="1315"/>
      <c r="F202" s="1315"/>
      <c r="G202" s="1315"/>
      <c r="H202" s="321">
        <f>SUM(H199:H201)</f>
        <v>265</v>
      </c>
      <c r="I202" s="321">
        <f>SUM(I199:I201)</f>
        <v>0</v>
      </c>
      <c r="J202" s="321">
        <f>SUM(J199:J201)</f>
        <v>0</v>
      </c>
      <c r="K202" s="227"/>
      <c r="L202" s="102"/>
      <c r="M202" s="102"/>
      <c r="N202" s="127"/>
    </row>
    <row r="203" spans="1:18" ht="13.5" customHeight="1">
      <c r="A203" s="1607"/>
      <c r="B203" s="1690"/>
      <c r="C203" s="1624" t="s">
        <v>745</v>
      </c>
      <c r="D203" s="1625"/>
      <c r="E203" s="1625"/>
      <c r="F203" s="1625" t="s">
        <v>112</v>
      </c>
      <c r="G203" s="970" t="s">
        <v>79</v>
      </c>
      <c r="H203" s="1042">
        <v>59</v>
      </c>
      <c r="I203" s="1002">
        <v>34</v>
      </c>
      <c r="J203" s="1002">
        <v>0</v>
      </c>
      <c r="K203" s="255" t="s">
        <v>746</v>
      </c>
      <c r="L203" s="241"/>
      <c r="M203" s="241">
        <v>1</v>
      </c>
      <c r="N203" s="975"/>
      <c r="R203" s="226">
        <v>2</v>
      </c>
    </row>
    <row r="204" spans="1:18">
      <c r="A204" s="1607"/>
      <c r="B204" s="1690"/>
      <c r="C204" s="1626"/>
      <c r="D204" s="1308"/>
      <c r="E204" s="1308"/>
      <c r="F204" s="1668"/>
      <c r="G204" s="733" t="s">
        <v>150</v>
      </c>
      <c r="H204" s="398">
        <v>20</v>
      </c>
      <c r="I204" s="398">
        <v>27</v>
      </c>
      <c r="J204" s="398">
        <v>0</v>
      </c>
      <c r="K204" s="1731" t="s">
        <v>346</v>
      </c>
      <c r="L204" s="1155">
        <v>40</v>
      </c>
      <c r="M204" s="1155">
        <v>100</v>
      </c>
      <c r="N204" s="1724"/>
    </row>
    <row r="205" spans="1:18" ht="13.5" thickBot="1">
      <c r="A205" s="1607"/>
      <c r="B205" s="1690"/>
      <c r="C205" s="1694"/>
      <c r="D205" s="1519"/>
      <c r="E205" s="1519"/>
      <c r="F205" s="1688"/>
      <c r="G205" s="973" t="s">
        <v>98</v>
      </c>
      <c r="H205" s="960">
        <v>88.4</v>
      </c>
      <c r="I205" s="960">
        <v>100</v>
      </c>
      <c r="J205" s="960">
        <v>0</v>
      </c>
      <c r="K205" s="1761"/>
      <c r="L205" s="1733"/>
      <c r="M205" s="1733"/>
      <c r="N205" s="1725"/>
    </row>
    <row r="206" spans="1:18" ht="13.5" thickBot="1">
      <c r="A206" s="1607"/>
      <c r="B206" s="1690"/>
      <c r="C206" s="1100" t="s">
        <v>76</v>
      </c>
      <c r="D206" s="1315"/>
      <c r="E206" s="1315"/>
      <c r="F206" s="1315"/>
      <c r="G206" s="1315"/>
      <c r="H206" s="321">
        <f>SUM(H203:H205)</f>
        <v>167.4</v>
      </c>
      <c r="I206" s="321">
        <f>SUM(I203:I205)</f>
        <v>161</v>
      </c>
      <c r="J206" s="321">
        <f>SUM(J203:J205)</f>
        <v>0</v>
      </c>
      <c r="K206" s="227"/>
      <c r="L206" s="102"/>
      <c r="M206" s="102"/>
      <c r="N206" s="127"/>
    </row>
    <row r="207" spans="1:18" ht="13.5" thickBot="1">
      <c r="A207" s="1607"/>
      <c r="B207" s="1100" t="s">
        <v>77</v>
      </c>
      <c r="C207" s="1315"/>
      <c r="D207" s="1315"/>
      <c r="E207" s="1315"/>
      <c r="F207" s="1315"/>
      <c r="G207" s="1315"/>
      <c r="H207" s="351">
        <f>H188+H191+H194+H198+H202+H206+H196</f>
        <v>735.69999999999993</v>
      </c>
      <c r="I207" s="351">
        <f t="shared" ref="I207:J207" si="9">I188+I191+I194+I198+I202+I206+I196</f>
        <v>246.1</v>
      </c>
      <c r="J207" s="351">
        <f t="shared" si="9"/>
        <v>85.1</v>
      </c>
      <c r="K207" s="227"/>
      <c r="L207" s="102"/>
      <c r="M207" s="102"/>
      <c r="N207" s="127"/>
    </row>
    <row r="208" spans="1:18" ht="33" customHeight="1">
      <c r="A208" s="1607"/>
      <c r="B208" s="1341" t="s">
        <v>681</v>
      </c>
      <c r="C208" s="1624" t="s">
        <v>657</v>
      </c>
      <c r="D208" s="1685"/>
      <c r="E208" s="1685"/>
      <c r="F208" s="1325" t="s">
        <v>112</v>
      </c>
      <c r="G208" s="970" t="s">
        <v>79</v>
      </c>
      <c r="H208" s="931">
        <v>10.5</v>
      </c>
      <c r="I208" s="1002">
        <v>0</v>
      </c>
      <c r="J208" s="1002">
        <v>0</v>
      </c>
      <c r="K208" s="255" t="s">
        <v>747</v>
      </c>
      <c r="L208" s="241">
        <v>2</v>
      </c>
      <c r="M208" s="241"/>
      <c r="N208" s="642"/>
      <c r="R208" s="226">
        <v>2</v>
      </c>
    </row>
    <row r="209" spans="1:18" ht="33" customHeight="1" thickBot="1">
      <c r="A209" s="1607"/>
      <c r="B209" s="1341"/>
      <c r="C209" s="1686"/>
      <c r="D209" s="1687"/>
      <c r="E209" s="1687"/>
      <c r="F209" s="1689"/>
      <c r="G209" s="462" t="s">
        <v>98</v>
      </c>
      <c r="H209" s="960">
        <v>59</v>
      </c>
      <c r="I209" s="960">
        <v>0</v>
      </c>
      <c r="J209" s="1002">
        <v>0</v>
      </c>
      <c r="K209" s="374" t="s">
        <v>346</v>
      </c>
      <c r="L209" s="652">
        <v>100</v>
      </c>
      <c r="M209" s="709"/>
      <c r="N209" s="641"/>
      <c r="R209" s="226">
        <v>2</v>
      </c>
    </row>
    <row r="210" spans="1:18" ht="13.5" thickBot="1">
      <c r="A210" s="1607"/>
      <c r="B210" s="1341"/>
      <c r="C210" s="1126" t="s">
        <v>76</v>
      </c>
      <c r="D210" s="1367"/>
      <c r="E210" s="1367"/>
      <c r="F210" s="1367"/>
      <c r="G210" s="1367"/>
      <c r="H210" s="315">
        <f>H208+H209</f>
        <v>69.5</v>
      </c>
      <c r="I210" s="316">
        <f>I208+I209</f>
        <v>0</v>
      </c>
      <c r="J210" s="316">
        <f>J208+J209</f>
        <v>0</v>
      </c>
      <c r="K210" s="229"/>
      <c r="L210" s="133"/>
      <c r="M210" s="133"/>
      <c r="N210" s="134"/>
    </row>
    <row r="211" spans="1:18" ht="28.5" customHeight="1">
      <c r="A211" s="1607"/>
      <c r="B211" s="1341"/>
      <c r="C211" s="1076" t="s">
        <v>375</v>
      </c>
      <c r="D211" s="1611"/>
      <c r="E211" s="1611"/>
      <c r="F211" s="1324" t="s">
        <v>112</v>
      </c>
      <c r="G211" s="1120" t="s">
        <v>79</v>
      </c>
      <c r="H211" s="1087">
        <v>200</v>
      </c>
      <c r="I211" s="1087">
        <v>1255</v>
      </c>
      <c r="J211" s="1087">
        <v>0</v>
      </c>
      <c r="K211" s="250" t="s">
        <v>748</v>
      </c>
      <c r="L211" s="687"/>
      <c r="M211" s="238">
        <v>2000</v>
      </c>
      <c r="N211" s="239"/>
      <c r="R211" s="226">
        <v>2</v>
      </c>
    </row>
    <row r="212" spans="1:18" ht="28.5" customHeight="1">
      <c r="A212" s="1607"/>
      <c r="B212" s="1341"/>
      <c r="C212" s="1612"/>
      <c r="D212" s="1613"/>
      <c r="E212" s="1613"/>
      <c r="F212" s="1325"/>
      <c r="G212" s="1122"/>
      <c r="H212" s="1108"/>
      <c r="I212" s="1108"/>
      <c r="J212" s="1108"/>
      <c r="K212" s="684" t="s">
        <v>749</v>
      </c>
      <c r="L212" s="685"/>
      <c r="M212" s="424">
        <v>6</v>
      </c>
      <c r="N212" s="425"/>
    </row>
    <row r="213" spans="1:18" ht="28.5" customHeight="1" thickBot="1">
      <c r="A213" s="1607"/>
      <c r="B213" s="1341"/>
      <c r="C213" s="1614"/>
      <c r="D213" s="1615"/>
      <c r="E213" s="1615"/>
      <c r="F213" s="1325"/>
      <c r="G213" s="973" t="s">
        <v>78</v>
      </c>
      <c r="H213" s="467">
        <v>1166</v>
      </c>
      <c r="I213" s="467">
        <v>0</v>
      </c>
      <c r="J213" s="991">
        <v>0</v>
      </c>
      <c r="K213" s="1014" t="s">
        <v>346</v>
      </c>
      <c r="L213" s="973">
        <v>60</v>
      </c>
      <c r="M213" s="973">
        <v>100</v>
      </c>
      <c r="N213" s="976"/>
    </row>
    <row r="214" spans="1:18" ht="13.5" thickBot="1">
      <c r="A214" s="1607"/>
      <c r="B214" s="1341"/>
      <c r="C214" s="1100" t="s">
        <v>76</v>
      </c>
      <c r="D214" s="1315"/>
      <c r="E214" s="1315"/>
      <c r="F214" s="1315"/>
      <c r="G214" s="1315"/>
      <c r="H214" s="315">
        <f>H211+H213</f>
        <v>1366</v>
      </c>
      <c r="I214" s="316">
        <f>I211+I213</f>
        <v>1255</v>
      </c>
      <c r="J214" s="316">
        <f>J211+J213</f>
        <v>0</v>
      </c>
      <c r="K214" s="229"/>
      <c r="L214" s="133"/>
      <c r="M214" s="133"/>
      <c r="N214" s="134"/>
    </row>
    <row r="215" spans="1:18" ht="13.5" thickBot="1">
      <c r="A215" s="1607"/>
      <c r="B215" s="1100" t="s">
        <v>77</v>
      </c>
      <c r="C215" s="1315"/>
      <c r="D215" s="1315"/>
      <c r="E215" s="1315"/>
      <c r="F215" s="1315"/>
      <c r="G215" s="1315"/>
      <c r="H215" s="320">
        <f>H210+H214</f>
        <v>1435.5</v>
      </c>
      <c r="I215" s="321">
        <f>I210+I214</f>
        <v>1255</v>
      </c>
      <c r="J215" s="321">
        <f>J210+J214</f>
        <v>0</v>
      </c>
      <c r="K215" s="186"/>
      <c r="L215" s="131"/>
      <c r="M215" s="131"/>
      <c r="N215" s="252"/>
    </row>
    <row r="216" spans="1:18" ht="13.15" customHeight="1">
      <c r="A216" s="1607"/>
      <c r="B216" s="1159" t="s">
        <v>682</v>
      </c>
      <c r="C216" s="1090" t="s">
        <v>660</v>
      </c>
      <c r="D216" s="1139"/>
      <c r="E216" s="1140"/>
      <c r="F216" s="1324" t="s">
        <v>112</v>
      </c>
      <c r="G216" s="638" t="s">
        <v>79</v>
      </c>
      <c r="H216" s="1044">
        <v>67.400000000000006</v>
      </c>
      <c r="I216" s="1002">
        <v>0</v>
      </c>
      <c r="J216" s="1002">
        <v>0</v>
      </c>
      <c r="K216" s="1389" t="s">
        <v>223</v>
      </c>
      <c r="L216" s="1733">
        <v>119</v>
      </c>
      <c r="M216" s="1733"/>
      <c r="N216" s="1725"/>
      <c r="R216" s="226">
        <v>2</v>
      </c>
    </row>
    <row r="217" spans="1:18" ht="21.75" customHeight="1">
      <c r="A217" s="1607"/>
      <c r="B217" s="1607"/>
      <c r="C217" s="1141"/>
      <c r="D217" s="1142"/>
      <c r="E217" s="1143"/>
      <c r="F217" s="1683"/>
      <c r="G217" s="1410" t="s">
        <v>98</v>
      </c>
      <c r="H217" s="1118">
        <v>349.5</v>
      </c>
      <c r="I217" s="1413">
        <v>0</v>
      </c>
      <c r="J217" s="1413">
        <v>0</v>
      </c>
      <c r="K217" s="1358"/>
      <c r="L217" s="1770"/>
      <c r="M217" s="1770"/>
      <c r="N217" s="1769"/>
      <c r="R217" s="226">
        <v>2</v>
      </c>
    </row>
    <row r="218" spans="1:18" ht="13.5" thickBot="1">
      <c r="A218" s="1607"/>
      <c r="B218" s="1607"/>
      <c r="C218" s="1141"/>
      <c r="D218" s="1142"/>
      <c r="E218" s="1143"/>
      <c r="F218" s="1684"/>
      <c r="G218" s="1609"/>
      <c r="H218" s="1621"/>
      <c r="I218" s="1610"/>
      <c r="J218" s="1610"/>
      <c r="K218" s="674" t="s">
        <v>346</v>
      </c>
      <c r="L218" s="809">
        <v>100</v>
      </c>
      <c r="M218" s="809"/>
      <c r="N218" s="810"/>
    </row>
    <row r="219" spans="1:18" ht="13.5" thickBot="1">
      <c r="A219" s="1607"/>
      <c r="B219" s="1607"/>
      <c r="C219" s="1100" t="s">
        <v>76</v>
      </c>
      <c r="D219" s="1315"/>
      <c r="E219" s="1315"/>
      <c r="F219" s="1315"/>
      <c r="G219" s="1316"/>
      <c r="H219" s="343">
        <f>SUM(H216:H218)</f>
        <v>416.9</v>
      </c>
      <c r="I219" s="344">
        <f>SUM(I216:I218)</f>
        <v>0</v>
      </c>
      <c r="J219" s="344">
        <f>SUM(J216:J218)</f>
        <v>0</v>
      </c>
      <c r="K219" s="227"/>
      <c r="L219" s="102"/>
      <c r="M219" s="102"/>
      <c r="N219" s="127"/>
    </row>
    <row r="220" spans="1:18" ht="26.25" customHeight="1">
      <c r="A220" s="1607"/>
      <c r="B220" s="1607"/>
      <c r="C220" s="1076" t="s">
        <v>661</v>
      </c>
      <c r="D220" s="1152"/>
      <c r="E220" s="1152"/>
      <c r="F220" s="1080" t="s">
        <v>139</v>
      </c>
      <c r="G220" s="1072" t="s">
        <v>79</v>
      </c>
      <c r="H220" s="1074">
        <v>20</v>
      </c>
      <c r="I220" s="1393">
        <v>20</v>
      </c>
      <c r="J220" s="1393">
        <v>30</v>
      </c>
      <c r="K220" s="308" t="s">
        <v>750</v>
      </c>
      <c r="L220" s="811">
        <v>400</v>
      </c>
      <c r="M220" s="811"/>
      <c r="N220" s="812"/>
    </row>
    <row r="221" spans="1:18" ht="26.25" customHeight="1" thickBot="1">
      <c r="A221" s="1607"/>
      <c r="B221" s="1607"/>
      <c r="C221" s="1096"/>
      <c r="D221" s="1097"/>
      <c r="E221" s="1097"/>
      <c r="F221" s="1071"/>
      <c r="G221" s="1073"/>
      <c r="H221" s="1075"/>
      <c r="I221" s="1069"/>
      <c r="J221" s="1069"/>
      <c r="K221" s="551" t="s">
        <v>626</v>
      </c>
      <c r="L221" s="462"/>
      <c r="M221" s="462">
        <v>1</v>
      </c>
      <c r="N221" s="813">
        <v>1</v>
      </c>
    </row>
    <row r="222" spans="1:18" ht="13.5" thickBot="1">
      <c r="A222" s="1607"/>
      <c r="B222" s="1607"/>
      <c r="C222" s="1100" t="s">
        <v>76</v>
      </c>
      <c r="D222" s="1315"/>
      <c r="E222" s="1315"/>
      <c r="F222" s="1315"/>
      <c r="G222" s="1316"/>
      <c r="H222" s="345">
        <f>SUM(H220:H220)</f>
        <v>20</v>
      </c>
      <c r="I222" s="346">
        <f>SUM(I220:I220)</f>
        <v>20</v>
      </c>
      <c r="J222" s="346">
        <f>SUM(J220:J220)</f>
        <v>30</v>
      </c>
      <c r="K222" s="229"/>
      <c r="L222" s="133"/>
      <c r="M222" s="133"/>
      <c r="N222" s="134"/>
    </row>
    <row r="223" spans="1:18" ht="33.75" customHeight="1" thickBot="1">
      <c r="A223" s="1607"/>
      <c r="B223" s="1607"/>
      <c r="C223" s="1090" t="s">
        <v>379</v>
      </c>
      <c r="D223" s="1139"/>
      <c r="E223" s="1140"/>
      <c r="F223" s="675" t="s">
        <v>119</v>
      </c>
      <c r="G223" s="638" t="s">
        <v>79</v>
      </c>
      <c r="H223" s="736">
        <v>1.2</v>
      </c>
      <c r="I223" s="658">
        <v>10</v>
      </c>
      <c r="J223" s="658">
        <v>10</v>
      </c>
      <c r="K223" s="672" t="s">
        <v>626</v>
      </c>
      <c r="L223" s="814">
        <v>1</v>
      </c>
      <c r="M223" s="814">
        <v>3</v>
      </c>
      <c r="N223" s="815">
        <v>3</v>
      </c>
    </row>
    <row r="224" spans="1:18" ht="13.5" thickBot="1">
      <c r="A224" s="1607"/>
      <c r="B224" s="1607"/>
      <c r="C224" s="1126" t="s">
        <v>76</v>
      </c>
      <c r="D224" s="1367"/>
      <c r="E224" s="1367"/>
      <c r="F224" s="1367"/>
      <c r="G224" s="1387"/>
      <c r="H224" s="345">
        <f>SUM(H223:H223)</f>
        <v>1.2</v>
      </c>
      <c r="I224" s="346">
        <f>SUM(I223:I223)</f>
        <v>10</v>
      </c>
      <c r="J224" s="346">
        <f>SUM(J223:J223)</f>
        <v>10</v>
      </c>
      <c r="K224" s="229"/>
      <c r="L224" s="133"/>
      <c r="M224" s="133"/>
      <c r="N224" s="134"/>
    </row>
    <row r="225" spans="1:18" ht="25.9" customHeight="1">
      <c r="A225" s="1607"/>
      <c r="B225" s="1607"/>
      <c r="C225" s="1090" t="s">
        <v>767</v>
      </c>
      <c r="D225" s="1139"/>
      <c r="E225" s="1140"/>
      <c r="F225" s="1080" t="s">
        <v>112</v>
      </c>
      <c r="G225" s="638" t="s">
        <v>79</v>
      </c>
      <c r="H225" s="962">
        <v>140</v>
      </c>
      <c r="I225" s="658">
        <v>0</v>
      </c>
      <c r="J225" s="658">
        <v>0</v>
      </c>
      <c r="K225" s="308" t="s">
        <v>751</v>
      </c>
      <c r="L225" s="811">
        <v>1</v>
      </c>
      <c r="M225" s="811"/>
      <c r="N225" s="812"/>
      <c r="R225" s="226">
        <v>2</v>
      </c>
    </row>
    <row r="226" spans="1:18" ht="25.9" customHeight="1" thickBot="1">
      <c r="A226" s="1607"/>
      <c r="B226" s="1607"/>
      <c r="C226" s="1141"/>
      <c r="D226" s="1142"/>
      <c r="E226" s="1143"/>
      <c r="F226" s="1606"/>
      <c r="G226" s="670" t="s">
        <v>98</v>
      </c>
      <c r="H226" s="737">
        <v>416.3</v>
      </c>
      <c r="I226" s="671">
        <v>0</v>
      </c>
      <c r="J226" s="671">
        <v>0</v>
      </c>
      <c r="K226" s="669" t="s">
        <v>346</v>
      </c>
      <c r="L226" s="652">
        <v>100</v>
      </c>
      <c r="M226" s="652"/>
      <c r="N226" s="816"/>
      <c r="R226" s="226">
        <v>2</v>
      </c>
    </row>
    <row r="227" spans="1:18" ht="13.5" thickBot="1">
      <c r="A227" s="1607"/>
      <c r="B227" s="1608"/>
      <c r="C227" s="1205" t="s">
        <v>76</v>
      </c>
      <c r="D227" s="1666"/>
      <c r="E227" s="1666"/>
      <c r="F227" s="1666"/>
      <c r="G227" s="1667"/>
      <c r="H227" s="1062">
        <f>SUM(H225:H226)</f>
        <v>556.29999999999995</v>
      </c>
      <c r="I227" s="316">
        <f>SUM(I225:I226)</f>
        <v>0</v>
      </c>
      <c r="J227" s="316">
        <f>SUM(J225:J226)</f>
        <v>0</v>
      </c>
      <c r="K227" s="229"/>
      <c r="L227" s="133"/>
      <c r="M227" s="133"/>
      <c r="N227" s="134"/>
    </row>
    <row r="228" spans="1:18" ht="13.5" thickBot="1">
      <c r="A228" s="1607"/>
      <c r="B228" s="1100" t="s">
        <v>77</v>
      </c>
      <c r="C228" s="1383"/>
      <c r="D228" s="1383"/>
      <c r="E228" s="1383"/>
      <c r="F228" s="1383"/>
      <c r="G228" s="1383"/>
      <c r="H228" s="320">
        <f>H219+H222+H224+H227</f>
        <v>994.39999999999986</v>
      </c>
      <c r="I228" s="321">
        <f t="shared" ref="I228:J228" si="10">I219+I222+I224+I227</f>
        <v>30</v>
      </c>
      <c r="J228" s="321">
        <f t="shared" si="10"/>
        <v>40</v>
      </c>
      <c r="K228" s="227"/>
      <c r="L228" s="102"/>
      <c r="M228" s="102"/>
      <c r="N228" s="127"/>
    </row>
    <row r="229" spans="1:18" ht="12.75" customHeight="1">
      <c r="A229" s="1607"/>
      <c r="B229" s="1257" t="s">
        <v>683</v>
      </c>
      <c r="C229" s="1076" t="s">
        <v>663</v>
      </c>
      <c r="D229" s="1152"/>
      <c r="E229" s="1152"/>
      <c r="F229" s="1152" t="s">
        <v>112</v>
      </c>
      <c r="G229" s="1120" t="s">
        <v>79</v>
      </c>
      <c r="H229" s="1492">
        <f>80+15+5</f>
        <v>100</v>
      </c>
      <c r="I229" s="1108">
        <v>0</v>
      </c>
      <c r="J229" s="1108">
        <v>0</v>
      </c>
      <c r="K229" s="924" t="s">
        <v>706</v>
      </c>
      <c r="L229" s="925">
        <v>1</v>
      </c>
      <c r="M229" s="926"/>
      <c r="N229" s="927"/>
    </row>
    <row r="230" spans="1:18">
      <c r="A230" s="1607"/>
      <c r="B230" s="1254"/>
      <c r="C230" s="1626"/>
      <c r="D230" s="1308"/>
      <c r="E230" s="1308"/>
      <c r="F230" s="1668"/>
      <c r="G230" s="1121"/>
      <c r="H230" s="1492"/>
      <c r="I230" s="1089"/>
      <c r="J230" s="1089"/>
      <c r="K230" s="817" t="s">
        <v>662</v>
      </c>
      <c r="L230" s="818">
        <v>1</v>
      </c>
      <c r="M230" s="818"/>
      <c r="N230" s="819"/>
      <c r="R230" s="226">
        <v>2</v>
      </c>
    </row>
    <row r="231" spans="1:18" ht="18.75" customHeight="1" thickBot="1">
      <c r="A231" s="1607"/>
      <c r="B231" s="1254"/>
      <c r="C231" s="1312"/>
      <c r="D231" s="1313"/>
      <c r="E231" s="1313"/>
      <c r="F231" s="1669"/>
      <c r="G231" s="665" t="s">
        <v>80</v>
      </c>
      <c r="H231" s="397">
        <v>20.100000000000001</v>
      </c>
      <c r="I231" s="955">
        <v>20</v>
      </c>
      <c r="J231" s="955">
        <v>20</v>
      </c>
      <c r="K231" s="820" t="s">
        <v>626</v>
      </c>
      <c r="L231" s="821">
        <v>1</v>
      </c>
      <c r="M231" s="821">
        <v>1</v>
      </c>
      <c r="N231" s="822">
        <v>1</v>
      </c>
      <c r="R231" s="226">
        <v>1</v>
      </c>
    </row>
    <row r="232" spans="1:18" ht="13.5" thickBot="1">
      <c r="A232" s="1607"/>
      <c r="B232" s="1157"/>
      <c r="C232" s="1100" t="s">
        <v>76</v>
      </c>
      <c r="D232" s="1605"/>
      <c r="E232" s="1605"/>
      <c r="F232" s="1605"/>
      <c r="G232" s="1605"/>
      <c r="H232" s="320">
        <f>SUM(H229:H231)</f>
        <v>120.1</v>
      </c>
      <c r="I232" s="321">
        <f>SUM(I229:I231)</f>
        <v>20</v>
      </c>
      <c r="J232" s="321">
        <f>SUM(J229:J231)</f>
        <v>20</v>
      </c>
      <c r="K232" s="227"/>
      <c r="L232" s="102"/>
      <c r="M232" s="102"/>
      <c r="N232" s="127"/>
    </row>
    <row r="233" spans="1:18" ht="43.5" customHeight="1" thickBot="1">
      <c r="A233" s="1607"/>
      <c r="B233" s="1157"/>
      <c r="C233" s="1090" t="s">
        <v>664</v>
      </c>
      <c r="D233" s="1139"/>
      <c r="E233" s="1140"/>
      <c r="F233" s="675" t="s">
        <v>112</v>
      </c>
      <c r="G233" s="638" t="s">
        <v>79</v>
      </c>
      <c r="H233" s="962">
        <v>80</v>
      </c>
      <c r="I233" s="658">
        <v>0</v>
      </c>
      <c r="J233" s="658">
        <v>0</v>
      </c>
      <c r="K233" s="672" t="s">
        <v>665</v>
      </c>
      <c r="L233" s="814">
        <v>1</v>
      </c>
      <c r="M233" s="814"/>
      <c r="N233" s="815"/>
      <c r="R233" s="226">
        <v>2</v>
      </c>
    </row>
    <row r="234" spans="1:18" ht="13.5" thickBot="1">
      <c r="A234" s="1607"/>
      <c r="B234" s="1157"/>
      <c r="C234" s="1100" t="s">
        <v>76</v>
      </c>
      <c r="D234" s="1315"/>
      <c r="E234" s="1315"/>
      <c r="F234" s="1315"/>
      <c r="G234" s="1316"/>
      <c r="H234" s="343">
        <f>SUM(H233:H233)</f>
        <v>80</v>
      </c>
      <c r="I234" s="344">
        <f>SUM(I233:I233)</f>
        <v>0</v>
      </c>
      <c r="J234" s="344">
        <f>SUM(J233:J233)</f>
        <v>0</v>
      </c>
      <c r="K234" s="227"/>
      <c r="L234" s="102"/>
      <c r="M234" s="102"/>
      <c r="N234" s="127"/>
    </row>
    <row r="235" spans="1:18" ht="49.5" customHeight="1">
      <c r="A235" s="1607"/>
      <c r="B235" s="1157"/>
      <c r="C235" s="1090" t="s">
        <v>666</v>
      </c>
      <c r="D235" s="1139"/>
      <c r="E235" s="1140"/>
      <c r="F235" s="1080" t="s">
        <v>112</v>
      </c>
      <c r="G235" s="638" t="s">
        <v>79</v>
      </c>
      <c r="H235" s="928">
        <v>30</v>
      </c>
      <c r="I235" s="984">
        <v>0</v>
      </c>
      <c r="J235" s="984">
        <v>0</v>
      </c>
      <c r="K235" s="308" t="s">
        <v>752</v>
      </c>
      <c r="L235" s="811">
        <v>1</v>
      </c>
      <c r="M235" s="811"/>
      <c r="N235" s="812"/>
      <c r="R235" s="226">
        <v>2</v>
      </c>
    </row>
    <row r="236" spans="1:18" ht="18.75" customHeight="1" thickBot="1">
      <c r="A236" s="1607"/>
      <c r="B236" s="1157"/>
      <c r="C236" s="1141"/>
      <c r="D236" s="1142"/>
      <c r="E236" s="1143"/>
      <c r="F236" s="1606"/>
      <c r="G236" s="670" t="s">
        <v>78</v>
      </c>
      <c r="H236" s="932">
        <v>170</v>
      </c>
      <c r="I236" s="671">
        <v>0</v>
      </c>
      <c r="J236" s="671">
        <v>0</v>
      </c>
      <c r="K236" s="669" t="s">
        <v>346</v>
      </c>
      <c r="L236" s="652">
        <v>100</v>
      </c>
      <c r="M236" s="652"/>
      <c r="N236" s="816"/>
    </row>
    <row r="237" spans="1:18" ht="13.5" thickBot="1">
      <c r="A237" s="1607"/>
      <c r="B237" s="1157"/>
      <c r="C237" s="1205" t="s">
        <v>76</v>
      </c>
      <c r="D237" s="1666"/>
      <c r="E237" s="1666"/>
      <c r="F237" s="1666"/>
      <c r="G237" s="1667"/>
      <c r="H237" s="1062">
        <f>SUM(H235:H236)</f>
        <v>200</v>
      </c>
      <c r="I237" s="316">
        <f>SUM(I235:I236)</f>
        <v>0</v>
      </c>
      <c r="J237" s="316">
        <f>SUM(J235:J236)</f>
        <v>0</v>
      </c>
      <c r="K237" s="229"/>
      <c r="L237" s="133"/>
      <c r="M237" s="133"/>
      <c r="N237" s="134"/>
    </row>
    <row r="238" spans="1:18" ht="13.5" thickBot="1">
      <c r="A238" s="1608"/>
      <c r="B238" s="370"/>
      <c r="C238" s="1259" t="s">
        <v>77</v>
      </c>
      <c r="D238" s="1616"/>
      <c r="E238" s="1616"/>
      <c r="F238" s="1616"/>
      <c r="G238" s="1616"/>
      <c r="H238" s="320">
        <f>H237+H234+H232</f>
        <v>400.1</v>
      </c>
      <c r="I238" s="321">
        <f>I237+I234+I232</f>
        <v>20</v>
      </c>
      <c r="J238" s="321">
        <f>J237+J234+J232</f>
        <v>20</v>
      </c>
      <c r="K238" s="227"/>
      <c r="L238" s="102"/>
      <c r="M238" s="102"/>
      <c r="N238" s="127"/>
    </row>
    <row r="239" spans="1:18" ht="30" customHeight="1" thickBot="1">
      <c r="A239" s="1607"/>
      <c r="B239" s="1159" t="s">
        <v>684</v>
      </c>
      <c r="C239" s="1090" t="s">
        <v>667</v>
      </c>
      <c r="D239" s="1139"/>
      <c r="E239" s="1140"/>
      <c r="F239" s="675" t="s">
        <v>112</v>
      </c>
      <c r="G239" s="638" t="s">
        <v>79</v>
      </c>
      <c r="H239" s="1044">
        <v>9.5</v>
      </c>
      <c r="I239" s="1002">
        <v>0</v>
      </c>
      <c r="J239" s="1002">
        <v>0</v>
      </c>
      <c r="K239" s="983" t="s">
        <v>846</v>
      </c>
      <c r="L239" s="1015">
        <v>100</v>
      </c>
      <c r="M239" s="1015"/>
      <c r="N239" s="1011"/>
      <c r="R239" s="226">
        <v>2</v>
      </c>
    </row>
    <row r="240" spans="1:18" ht="13.5" thickBot="1">
      <c r="A240" s="1607"/>
      <c r="B240" s="1157"/>
      <c r="C240" s="1100" t="s">
        <v>76</v>
      </c>
      <c r="D240" s="1315"/>
      <c r="E240" s="1315"/>
      <c r="F240" s="1315"/>
      <c r="G240" s="1316"/>
      <c r="H240" s="343">
        <f>SUM(H239:H239)</f>
        <v>9.5</v>
      </c>
      <c r="I240" s="344">
        <f>SUM(I239:I239)</f>
        <v>0</v>
      </c>
      <c r="J240" s="344">
        <f>SUM(J239:J239)</f>
        <v>0</v>
      </c>
      <c r="K240" s="227"/>
      <c r="L240" s="102"/>
      <c r="M240" s="102"/>
      <c r="N240" s="127"/>
    </row>
    <row r="241" spans="1:18" ht="35.25" customHeight="1" thickBot="1">
      <c r="A241" s="1607"/>
      <c r="B241" s="1179"/>
      <c r="C241" s="1090" t="s">
        <v>668</v>
      </c>
      <c r="D241" s="1139"/>
      <c r="E241" s="1140"/>
      <c r="F241" s="675" t="s">
        <v>112</v>
      </c>
      <c r="G241" s="638" t="s">
        <v>79</v>
      </c>
      <c r="H241" s="992">
        <v>18.2</v>
      </c>
      <c r="I241" s="979">
        <v>20</v>
      </c>
      <c r="J241" s="979">
        <v>20</v>
      </c>
      <c r="K241" s="672" t="s">
        <v>626</v>
      </c>
      <c r="L241" s="814">
        <v>1</v>
      </c>
      <c r="M241" s="814">
        <v>1</v>
      </c>
      <c r="N241" s="815">
        <v>1</v>
      </c>
      <c r="R241" s="226">
        <v>2</v>
      </c>
    </row>
    <row r="242" spans="1:18" ht="14.25" customHeight="1" thickBot="1">
      <c r="A242" s="1607"/>
      <c r="B242" s="823"/>
      <c r="C242" s="1100" t="s">
        <v>76</v>
      </c>
      <c r="D242" s="1315"/>
      <c r="E242" s="1315"/>
      <c r="F242" s="1315"/>
      <c r="G242" s="1315"/>
      <c r="H242" s="320">
        <f>SUM(H241:H241)</f>
        <v>18.2</v>
      </c>
      <c r="I242" s="321">
        <f>SUM(I241:I241)</f>
        <v>20</v>
      </c>
      <c r="J242" s="321">
        <f>SUM(J241:J241)</f>
        <v>20</v>
      </c>
      <c r="K242" s="227"/>
      <c r="L242" s="102"/>
      <c r="M242" s="102"/>
      <c r="N242" s="127"/>
    </row>
    <row r="243" spans="1:18" ht="13.5" thickBot="1">
      <c r="A243" s="1607"/>
      <c r="B243" s="1100" t="s">
        <v>77</v>
      </c>
      <c r="C243" s="1670"/>
      <c r="D243" s="1670"/>
      <c r="E243" s="1670"/>
      <c r="F243" s="1670"/>
      <c r="G243" s="1670"/>
      <c r="H243" s="356">
        <f>H240+H242</f>
        <v>27.7</v>
      </c>
      <c r="I243" s="357">
        <f>I240+I242</f>
        <v>20</v>
      </c>
      <c r="J243" s="357">
        <f>J240+J242</f>
        <v>20</v>
      </c>
      <c r="K243" s="95"/>
      <c r="L243" s="162"/>
      <c r="M243" s="162"/>
      <c r="N243" s="130"/>
    </row>
    <row r="244" spans="1:18" ht="24" customHeight="1" thickBot="1">
      <c r="A244" s="1607"/>
      <c r="B244" s="1159" t="s">
        <v>685</v>
      </c>
      <c r="C244" s="1343" t="s">
        <v>691</v>
      </c>
      <c r="D244" s="1343"/>
      <c r="E244" s="1344"/>
      <c r="F244" s="295" t="s">
        <v>112</v>
      </c>
      <c r="G244" s="258" t="s">
        <v>79</v>
      </c>
      <c r="H244" s="1000">
        <v>20</v>
      </c>
      <c r="I244" s="1045">
        <f>H244*1.006</f>
        <v>20.12</v>
      </c>
      <c r="J244" s="1045">
        <f>I244*1.006</f>
        <v>20.24072</v>
      </c>
      <c r="K244" s="997" t="s">
        <v>381</v>
      </c>
      <c r="L244" s="1040">
        <v>10</v>
      </c>
      <c r="M244" s="1040">
        <v>10</v>
      </c>
      <c r="N244" s="977">
        <v>10</v>
      </c>
      <c r="R244" s="226">
        <v>1</v>
      </c>
    </row>
    <row r="245" spans="1:18" ht="13.5" thickBot="1">
      <c r="A245" s="1607"/>
      <c r="B245" s="1157"/>
      <c r="C245" s="1259" t="s">
        <v>76</v>
      </c>
      <c r="D245" s="1315"/>
      <c r="E245" s="1315"/>
      <c r="F245" s="1315"/>
      <c r="G245" s="1316"/>
      <c r="H245" s="345">
        <f>SUM(H244:H244)</f>
        <v>20</v>
      </c>
      <c r="I245" s="346">
        <f>SUM(I244:I244)</f>
        <v>20.12</v>
      </c>
      <c r="J245" s="346">
        <f>SUM(J244:J244)</f>
        <v>20.24072</v>
      </c>
      <c r="K245" s="229"/>
      <c r="L245" s="133"/>
      <c r="M245" s="133"/>
      <c r="N245" s="134"/>
    </row>
    <row r="246" spans="1:18" ht="36.75" customHeight="1" thickBot="1">
      <c r="A246" s="1607"/>
      <c r="B246" s="1157"/>
      <c r="C246" s="1142" t="s">
        <v>692</v>
      </c>
      <c r="D246" s="1142"/>
      <c r="E246" s="1143"/>
      <c r="F246" s="673" t="s">
        <v>112</v>
      </c>
      <c r="G246" s="650" t="s">
        <v>79</v>
      </c>
      <c r="H246" s="725">
        <v>20</v>
      </c>
      <c r="I246" s="725">
        <f>H246*1.006</f>
        <v>20.12</v>
      </c>
      <c r="J246" s="725">
        <f>I246*1.006</f>
        <v>20.24072</v>
      </c>
      <c r="K246" s="179" t="s">
        <v>281</v>
      </c>
      <c r="L246" s="365">
        <v>3</v>
      </c>
      <c r="M246" s="365">
        <v>3</v>
      </c>
      <c r="N246" s="259">
        <v>3</v>
      </c>
      <c r="R246" s="226">
        <v>1</v>
      </c>
    </row>
    <row r="247" spans="1:18" ht="13.5" thickBot="1">
      <c r="A247" s="1607"/>
      <c r="B247" s="1157"/>
      <c r="C247" s="1619" t="s">
        <v>76</v>
      </c>
      <c r="D247" s="1664"/>
      <c r="E247" s="1664"/>
      <c r="F247" s="1664"/>
      <c r="G247" s="1665"/>
      <c r="H247" s="359">
        <f>SUM(H246:H246)</f>
        <v>20</v>
      </c>
      <c r="I247" s="360">
        <f>SUM(I246:I246)</f>
        <v>20.12</v>
      </c>
      <c r="J247" s="360">
        <f>SUM(J246:J246)</f>
        <v>20.24072</v>
      </c>
      <c r="K247" s="95"/>
      <c r="L247" s="162"/>
      <c r="M247" s="162"/>
      <c r="N247" s="130"/>
    </row>
    <row r="248" spans="1:18" ht="36.75" customHeight="1" thickBot="1">
      <c r="A248" s="1607"/>
      <c r="B248" s="1157"/>
      <c r="C248" s="1343" t="s">
        <v>693</v>
      </c>
      <c r="D248" s="1343"/>
      <c r="E248" s="1344"/>
      <c r="F248" s="295" t="s">
        <v>112</v>
      </c>
      <c r="G248" s="258" t="s">
        <v>79</v>
      </c>
      <c r="H248" s="865">
        <v>40</v>
      </c>
      <c r="I248" s="865">
        <f>H248*1.006</f>
        <v>40.24</v>
      </c>
      <c r="J248" s="865">
        <f>I248*1.006</f>
        <v>40.481439999999999</v>
      </c>
      <c r="K248" s="990" t="s">
        <v>670</v>
      </c>
      <c r="L248" s="998">
        <v>2</v>
      </c>
      <c r="M248" s="998">
        <v>2</v>
      </c>
      <c r="N248" s="974">
        <v>2</v>
      </c>
      <c r="R248" s="226">
        <v>2</v>
      </c>
    </row>
    <row r="249" spans="1:18" ht="13.5" thickBot="1">
      <c r="A249" s="1607"/>
      <c r="B249" s="1157"/>
      <c r="C249" s="1619" t="s">
        <v>76</v>
      </c>
      <c r="D249" s="1620"/>
      <c r="E249" s="1620"/>
      <c r="F249" s="1620"/>
      <c r="G249" s="1620"/>
      <c r="H249" s="320">
        <f>SUM(H248:H248)</f>
        <v>40</v>
      </c>
      <c r="I249" s="321">
        <f>SUM(I248:I248)</f>
        <v>40.24</v>
      </c>
      <c r="J249" s="321">
        <f>SUM(J248:J248)</f>
        <v>40.481439999999999</v>
      </c>
      <c r="K249" s="227"/>
      <c r="L249" s="102"/>
      <c r="M249" s="102"/>
      <c r="N249" s="127"/>
    </row>
    <row r="250" spans="1:18" ht="24.75" customHeight="1" thickBot="1">
      <c r="A250" s="1607"/>
      <c r="B250" s="1157"/>
      <c r="C250" s="1343" t="s">
        <v>694</v>
      </c>
      <c r="D250" s="1343"/>
      <c r="E250" s="1344"/>
      <c r="F250" s="295" t="s">
        <v>112</v>
      </c>
      <c r="G250" s="258" t="s">
        <v>80</v>
      </c>
      <c r="H250" s="858">
        <v>138.80000000000001</v>
      </c>
      <c r="I250" s="858">
        <f>H250*1.006</f>
        <v>139.6328</v>
      </c>
      <c r="J250" s="858">
        <f>I250*1.006</f>
        <v>140.47059680000001</v>
      </c>
      <c r="K250" s="994" t="s">
        <v>671</v>
      </c>
      <c r="L250" s="424">
        <v>15</v>
      </c>
      <c r="M250" s="424">
        <v>15</v>
      </c>
      <c r="N250" s="425">
        <v>15</v>
      </c>
      <c r="R250" s="226">
        <v>1</v>
      </c>
    </row>
    <row r="251" spans="1:18" ht="13.5" thickBot="1">
      <c r="A251" s="1607"/>
      <c r="B251" s="1179"/>
      <c r="C251" s="1619" t="s">
        <v>76</v>
      </c>
      <c r="D251" s="1620"/>
      <c r="E251" s="1620"/>
      <c r="F251" s="1620"/>
      <c r="G251" s="1620"/>
      <c r="H251" s="315">
        <f>SUM(H250:H250)</f>
        <v>138.80000000000001</v>
      </c>
      <c r="I251" s="316">
        <f>SUM(I250:I250)</f>
        <v>139.6328</v>
      </c>
      <c r="J251" s="316">
        <f>SUM(J250:J250)</f>
        <v>140.47059680000001</v>
      </c>
      <c r="K251" s="229"/>
      <c r="L251" s="133"/>
      <c r="M251" s="133"/>
      <c r="N251" s="134"/>
    </row>
    <row r="252" spans="1:18" ht="13.5" thickBot="1">
      <c r="A252" s="1607"/>
      <c r="B252" s="1100" t="s">
        <v>77</v>
      </c>
      <c r="C252" s="1616"/>
      <c r="D252" s="1616"/>
      <c r="E252" s="1616"/>
      <c r="F252" s="1616"/>
      <c r="G252" s="1616"/>
      <c r="H252" s="320">
        <f>H247+H245+H249+H251</f>
        <v>218.8</v>
      </c>
      <c r="I252" s="321">
        <f>I247+I245+I249+I251</f>
        <v>220.11279999999999</v>
      </c>
      <c r="J252" s="321">
        <f>J247+J245+J249+J251</f>
        <v>221.43347679999999</v>
      </c>
      <c r="K252" s="186"/>
      <c r="L252" s="131"/>
      <c r="M252" s="131"/>
      <c r="N252" s="132"/>
    </row>
    <row r="253" spans="1:18" ht="12" customHeight="1" thickBot="1">
      <c r="A253" s="1173" t="s">
        <v>203</v>
      </c>
      <c r="B253" s="1663"/>
      <c r="C253" s="1663"/>
      <c r="D253" s="1663"/>
      <c r="E253" s="1663"/>
      <c r="F253" s="1663"/>
      <c r="G253" s="1663"/>
      <c r="H253" s="356">
        <f>H252+H243+H238+H228+H215+H184+H207</f>
        <v>6607.5999999999995</v>
      </c>
      <c r="I253" s="357">
        <f>I252+I243+I238+I228+I215+I184+I207</f>
        <v>2136.3127999999997</v>
      </c>
      <c r="J253" s="357">
        <f>J252+J243+J238+J228+J215+J184+J207</f>
        <v>542.03347680000002</v>
      </c>
      <c r="K253" s="95"/>
      <c r="L253" s="162"/>
      <c r="M253" s="162"/>
      <c r="N253" s="130"/>
    </row>
    <row r="254" spans="1:18" ht="20.25" customHeight="1">
      <c r="A254" s="1159" t="s">
        <v>107</v>
      </c>
      <c r="B254" s="1159" t="s">
        <v>686</v>
      </c>
      <c r="C254" s="1142" t="s">
        <v>695</v>
      </c>
      <c r="D254" s="1142"/>
      <c r="E254" s="1142"/>
      <c r="F254" s="656" t="s">
        <v>112</v>
      </c>
      <c r="G254" s="650" t="s">
        <v>79</v>
      </c>
      <c r="H254" s="732">
        <v>5</v>
      </c>
      <c r="I254" s="1002">
        <v>18</v>
      </c>
      <c r="J254" s="1002">
        <v>18</v>
      </c>
      <c r="K254" s="1763" t="s">
        <v>225</v>
      </c>
      <c r="L254" s="1764">
        <v>10</v>
      </c>
      <c r="M254" s="1764">
        <v>10</v>
      </c>
      <c r="N254" s="1765">
        <v>12</v>
      </c>
      <c r="R254" s="226">
        <v>2</v>
      </c>
    </row>
    <row r="255" spans="1:18" ht="23.25" thickBot="1">
      <c r="A255" s="1607"/>
      <c r="B255" s="1607"/>
      <c r="C255" s="1142"/>
      <c r="D255" s="1142"/>
      <c r="E255" s="1142"/>
      <c r="F255" s="933" t="s">
        <v>768</v>
      </c>
      <c r="G255" s="647" t="s">
        <v>78</v>
      </c>
      <c r="H255" s="937">
        <v>750</v>
      </c>
      <c r="I255" s="460">
        <v>750</v>
      </c>
      <c r="J255" s="460">
        <v>1089</v>
      </c>
      <c r="K255" s="1347"/>
      <c r="L255" s="1151"/>
      <c r="M255" s="1151"/>
      <c r="N255" s="1482"/>
    </row>
    <row r="256" spans="1:18" ht="13.5" thickBot="1">
      <c r="A256" s="1607"/>
      <c r="B256" s="1607"/>
      <c r="C256" s="1100" t="s">
        <v>76</v>
      </c>
      <c r="D256" s="1616"/>
      <c r="E256" s="1616"/>
      <c r="F256" s="1616"/>
      <c r="G256" s="1617"/>
      <c r="H256" s="343">
        <f>SUM(H254:H255)</f>
        <v>755</v>
      </c>
      <c r="I256" s="344">
        <f>SUM(I254:I255)</f>
        <v>768</v>
      </c>
      <c r="J256" s="344">
        <f>SUM(J254:J255)</f>
        <v>1107</v>
      </c>
      <c r="K256" s="227"/>
      <c r="L256" s="102"/>
      <c r="M256" s="102"/>
      <c r="N256" s="127"/>
    </row>
    <row r="257" spans="1:18" ht="26.25" customHeight="1" thickBot="1">
      <c r="A257" s="1607"/>
      <c r="B257" s="1607"/>
      <c r="C257" s="1090" t="s">
        <v>376</v>
      </c>
      <c r="D257" s="1658"/>
      <c r="E257" s="1659"/>
      <c r="F257" s="676" t="s">
        <v>112</v>
      </c>
      <c r="G257" s="657" t="s">
        <v>79</v>
      </c>
      <c r="H257" s="943">
        <v>50</v>
      </c>
      <c r="I257" s="694">
        <v>30</v>
      </c>
      <c r="J257" s="694">
        <v>30</v>
      </c>
      <c r="K257" s="364" t="s">
        <v>29</v>
      </c>
      <c r="L257" s="365">
        <v>8</v>
      </c>
      <c r="M257" s="365">
        <v>5</v>
      </c>
      <c r="N257" s="259">
        <v>5</v>
      </c>
      <c r="R257" s="226">
        <v>2</v>
      </c>
    </row>
    <row r="258" spans="1:18" ht="13.5" thickBot="1">
      <c r="A258" s="1607"/>
      <c r="B258" s="1607"/>
      <c r="C258" s="1100" t="s">
        <v>76</v>
      </c>
      <c r="D258" s="1616"/>
      <c r="E258" s="1616"/>
      <c r="F258" s="1616"/>
      <c r="G258" s="1617"/>
      <c r="H258" s="343">
        <f>SUM(H257)</f>
        <v>50</v>
      </c>
      <c r="I258" s="344">
        <f>SUM(I257)</f>
        <v>30</v>
      </c>
      <c r="J258" s="344">
        <f>SUM(J257)</f>
        <v>30</v>
      </c>
      <c r="K258" s="39"/>
      <c r="L258" s="102"/>
      <c r="M258" s="102"/>
      <c r="N258" s="127"/>
    </row>
    <row r="259" spans="1:18" ht="38.25" customHeight="1" thickBot="1">
      <c r="A259" s="1607"/>
      <c r="B259" s="1607"/>
      <c r="C259" s="1090" t="s">
        <v>377</v>
      </c>
      <c r="D259" s="1658"/>
      <c r="E259" s="1659"/>
      <c r="F259" s="676" t="s">
        <v>112</v>
      </c>
      <c r="G259" s="657" t="s">
        <v>79</v>
      </c>
      <c r="H259" s="939">
        <v>5</v>
      </c>
      <c r="I259" s="691">
        <v>5</v>
      </c>
      <c r="J259" s="691">
        <v>5</v>
      </c>
      <c r="K259" s="684" t="s">
        <v>378</v>
      </c>
      <c r="L259" s="424">
        <v>4</v>
      </c>
      <c r="M259" s="424">
        <v>4</v>
      </c>
      <c r="N259" s="425">
        <v>4</v>
      </c>
      <c r="R259" s="226">
        <v>2</v>
      </c>
    </row>
    <row r="260" spans="1:18" ht="13.5" thickBot="1">
      <c r="A260" s="1607"/>
      <c r="B260" s="1607"/>
      <c r="C260" s="1126" t="s">
        <v>76</v>
      </c>
      <c r="D260" s="1618"/>
      <c r="E260" s="1618"/>
      <c r="F260" s="1618"/>
      <c r="G260" s="1655"/>
      <c r="H260" s="107">
        <f>SUM(H259)</f>
        <v>5</v>
      </c>
      <c r="I260" s="105">
        <f>SUM(I259)</f>
        <v>5</v>
      </c>
      <c r="J260" s="105">
        <f>SUM(J259)</f>
        <v>5</v>
      </c>
      <c r="K260" s="227"/>
      <c r="L260" s="102"/>
      <c r="M260" s="102"/>
      <c r="N260" s="127"/>
    </row>
    <row r="261" spans="1:18" ht="13.5" thickBot="1">
      <c r="A261" s="1607"/>
      <c r="B261" s="1100" t="s">
        <v>77</v>
      </c>
      <c r="C261" s="1656"/>
      <c r="D261" s="1656"/>
      <c r="E261" s="1656"/>
      <c r="F261" s="1656"/>
      <c r="G261" s="1657"/>
      <c r="H261" s="81">
        <f>H256+H258+H260</f>
        <v>810</v>
      </c>
      <c r="I261" s="70">
        <f>I256+I258+I260</f>
        <v>803</v>
      </c>
      <c r="J261" s="70">
        <f>J256+J258+J260</f>
        <v>1142</v>
      </c>
      <c r="K261" s="227"/>
      <c r="L261" s="102"/>
      <c r="M261" s="102"/>
      <c r="N261" s="127"/>
    </row>
    <row r="262" spans="1:18" ht="13.5" thickBot="1">
      <c r="A262" s="1258" t="s">
        <v>7</v>
      </c>
      <c r="B262" s="1653"/>
      <c r="C262" s="1653"/>
      <c r="D262" s="1653"/>
      <c r="E262" s="1653"/>
      <c r="F262" s="1653"/>
      <c r="G262" s="1654"/>
      <c r="H262" s="91">
        <f>H261</f>
        <v>810</v>
      </c>
      <c r="I262" s="91">
        <f>I261</f>
        <v>803</v>
      </c>
      <c r="J262" s="91">
        <f>J261</f>
        <v>1142</v>
      </c>
      <c r="K262" s="110"/>
      <c r="L262" s="144"/>
      <c r="M262" s="144"/>
      <c r="N262" s="145"/>
    </row>
    <row r="263" spans="1:18" ht="22.5" customHeight="1" thickBot="1">
      <c r="A263" s="1257" t="s">
        <v>707</v>
      </c>
      <c r="B263" s="1159" t="s">
        <v>677</v>
      </c>
      <c r="C263" s="1142" t="s">
        <v>675</v>
      </c>
      <c r="D263" s="1142"/>
      <c r="E263" s="1142"/>
      <c r="F263" s="656" t="s">
        <v>112</v>
      </c>
      <c r="G263" s="650" t="s">
        <v>79</v>
      </c>
      <c r="H263" s="322">
        <v>190</v>
      </c>
      <c r="I263" s="658">
        <v>0</v>
      </c>
      <c r="J263" s="658">
        <v>0</v>
      </c>
      <c r="K263" s="824" t="s">
        <v>676</v>
      </c>
      <c r="L263" s="323">
        <v>1</v>
      </c>
      <c r="M263" s="323"/>
      <c r="N263" s="324"/>
      <c r="R263" s="226">
        <v>2</v>
      </c>
    </row>
    <row r="264" spans="1:18" ht="13.5" thickBot="1">
      <c r="A264" s="1254"/>
      <c r="B264" s="1607"/>
      <c r="C264" s="1100" t="s">
        <v>76</v>
      </c>
      <c r="D264" s="1616"/>
      <c r="E264" s="1616"/>
      <c r="F264" s="1616"/>
      <c r="G264" s="1617"/>
      <c r="H264" s="343">
        <f>SUM(H263:H263)</f>
        <v>190</v>
      </c>
      <c r="I264" s="344">
        <f>SUM(I263:I263)</f>
        <v>0</v>
      </c>
      <c r="J264" s="344">
        <f>SUM(J263:J263)</f>
        <v>0</v>
      </c>
      <c r="K264" s="227"/>
      <c r="L264" s="102"/>
      <c r="M264" s="102"/>
      <c r="N264" s="127"/>
    </row>
    <row r="265" spans="1:18" ht="26.25" customHeight="1" thickBot="1">
      <c r="A265" s="1254"/>
      <c r="B265" s="1607"/>
      <c r="C265" s="1090" t="s">
        <v>843</v>
      </c>
      <c r="D265" s="1658"/>
      <c r="E265" s="1659"/>
      <c r="F265" s="676" t="s">
        <v>112</v>
      </c>
      <c r="G265" s="657" t="s">
        <v>79</v>
      </c>
      <c r="H265" s="943">
        <v>100</v>
      </c>
      <c r="I265" s="694">
        <f>H265</f>
        <v>100</v>
      </c>
      <c r="J265" s="694">
        <f>I265</f>
        <v>100</v>
      </c>
      <c r="K265" s="364" t="s">
        <v>656</v>
      </c>
      <c r="L265" s="365">
        <v>1</v>
      </c>
      <c r="M265" s="365">
        <v>1</v>
      </c>
      <c r="N265" s="259">
        <v>1</v>
      </c>
      <c r="R265" s="226">
        <v>2</v>
      </c>
    </row>
    <row r="266" spans="1:18" ht="13.5" thickBot="1">
      <c r="A266" s="1254"/>
      <c r="B266" s="1607"/>
      <c r="C266" s="1100" t="s">
        <v>76</v>
      </c>
      <c r="D266" s="1616"/>
      <c r="E266" s="1616"/>
      <c r="F266" s="1616"/>
      <c r="G266" s="1617"/>
      <c r="H266" s="343">
        <f>SUM(H265)</f>
        <v>100</v>
      </c>
      <c r="I266" s="344">
        <f>SUM(I265)</f>
        <v>100</v>
      </c>
      <c r="J266" s="344">
        <f>SUM(J265)</f>
        <v>100</v>
      </c>
      <c r="K266" s="39"/>
      <c r="L266" s="102"/>
      <c r="M266" s="102"/>
      <c r="N266" s="127"/>
    </row>
    <row r="267" spans="1:18" ht="25.5" customHeight="1">
      <c r="A267" s="1254"/>
      <c r="B267" s="1607"/>
      <c r="C267" s="1090" t="s">
        <v>678</v>
      </c>
      <c r="D267" s="1139"/>
      <c r="E267" s="1140"/>
      <c r="F267" s="1080" t="s">
        <v>112</v>
      </c>
      <c r="G267" s="638" t="s">
        <v>79</v>
      </c>
      <c r="H267" s="736">
        <v>61.5</v>
      </c>
      <c r="I267" s="658">
        <v>0</v>
      </c>
      <c r="J267" s="658">
        <v>0</v>
      </c>
      <c r="K267" s="825" t="s">
        <v>753</v>
      </c>
      <c r="L267" s="306">
        <v>5</v>
      </c>
      <c r="M267" s="811"/>
      <c r="N267" s="812"/>
      <c r="R267" s="226">
        <v>2</v>
      </c>
    </row>
    <row r="268" spans="1:18" ht="25.5" customHeight="1" thickBot="1">
      <c r="A268" s="1254"/>
      <c r="B268" s="1607"/>
      <c r="C268" s="1425"/>
      <c r="D268" s="1426"/>
      <c r="E268" s="1427"/>
      <c r="F268" s="1606"/>
      <c r="G268" s="670" t="s">
        <v>98</v>
      </c>
      <c r="H268" s="737">
        <v>148.5</v>
      </c>
      <c r="I268" s="671">
        <v>0</v>
      </c>
      <c r="J268" s="671">
        <v>0</v>
      </c>
      <c r="K268" s="374" t="s">
        <v>346</v>
      </c>
      <c r="L268" s="709">
        <v>100</v>
      </c>
      <c r="M268" s="652"/>
      <c r="N268" s="816"/>
      <c r="R268" s="226">
        <v>2</v>
      </c>
    </row>
    <row r="269" spans="1:18" ht="13.5" thickBot="1">
      <c r="A269" s="1254"/>
      <c r="B269" s="1607"/>
      <c r="C269" s="1126" t="s">
        <v>76</v>
      </c>
      <c r="D269" s="1618"/>
      <c r="E269" s="1618"/>
      <c r="F269" s="1618"/>
      <c r="G269" s="1618"/>
      <c r="H269" s="81">
        <f>SUM(H267:H268)</f>
        <v>210</v>
      </c>
      <c r="I269" s="70">
        <f>SUM(I267:I268)</f>
        <v>0</v>
      </c>
      <c r="J269" s="70">
        <f>SUM(J267:J268)</f>
        <v>0</v>
      </c>
      <c r="K269" s="227"/>
      <c r="L269" s="102"/>
      <c r="M269" s="102"/>
      <c r="N269" s="127"/>
    </row>
    <row r="270" spans="1:18" ht="13.5" thickBot="1">
      <c r="A270" s="1254"/>
      <c r="B270" s="1100" t="s">
        <v>77</v>
      </c>
      <c r="C270" s="1656"/>
      <c r="D270" s="1656"/>
      <c r="E270" s="1656"/>
      <c r="F270" s="1656"/>
      <c r="G270" s="1656"/>
      <c r="H270" s="81">
        <f>H264+H266+H269</f>
        <v>500</v>
      </c>
      <c r="I270" s="70">
        <f>I264+I266+I269</f>
        <v>100</v>
      </c>
      <c r="J270" s="70">
        <f>J264+J266+J269</f>
        <v>100</v>
      </c>
      <c r="K270" s="227"/>
      <c r="L270" s="102"/>
      <c r="M270" s="102"/>
      <c r="N270" s="127"/>
    </row>
    <row r="271" spans="1:18" ht="36" customHeight="1">
      <c r="A271" s="1254"/>
      <c r="B271" s="1660" t="s">
        <v>688</v>
      </c>
      <c r="C271" s="1090" t="s">
        <v>687</v>
      </c>
      <c r="D271" s="1139"/>
      <c r="E271" s="1140"/>
      <c r="F271" s="1080" t="s">
        <v>112</v>
      </c>
      <c r="G271" s="638" t="s">
        <v>79</v>
      </c>
      <c r="H271" s="1044">
        <v>55.2</v>
      </c>
      <c r="I271" s="1002">
        <v>2.9</v>
      </c>
      <c r="J271" s="1002">
        <v>0</v>
      </c>
      <c r="K271" s="1003" t="s">
        <v>757</v>
      </c>
      <c r="L271" s="1008">
        <v>70</v>
      </c>
      <c r="M271" s="1008">
        <v>30</v>
      </c>
      <c r="N271" s="805"/>
      <c r="R271" s="226">
        <v>2</v>
      </c>
    </row>
    <row r="272" spans="1:18" ht="36" customHeight="1" thickBot="1">
      <c r="A272" s="1254"/>
      <c r="B272" s="1661"/>
      <c r="C272" s="1425"/>
      <c r="D272" s="1426"/>
      <c r="E272" s="1427"/>
      <c r="F272" s="1606"/>
      <c r="G272" s="670" t="s">
        <v>98</v>
      </c>
      <c r="H272" s="737">
        <v>680.8</v>
      </c>
      <c r="I272" s="671">
        <v>35.799999999999997</v>
      </c>
      <c r="J272" s="671">
        <v>0</v>
      </c>
      <c r="K272" s="1014" t="s">
        <v>346</v>
      </c>
      <c r="L272" s="652">
        <v>70</v>
      </c>
      <c r="M272" s="652">
        <v>100</v>
      </c>
      <c r="N272" s="816"/>
      <c r="R272" s="226">
        <v>2</v>
      </c>
    </row>
    <row r="273" spans="1:18" ht="13.5" thickBot="1">
      <c r="A273" s="1254"/>
      <c r="B273" s="1662"/>
      <c r="C273" s="1126" t="s">
        <v>76</v>
      </c>
      <c r="D273" s="1618"/>
      <c r="E273" s="1618"/>
      <c r="F273" s="1618"/>
      <c r="G273" s="1618"/>
      <c r="H273" s="81">
        <f>SUM(H271:H272)</f>
        <v>736</v>
      </c>
      <c r="I273" s="70">
        <f>SUM(I271:I272)</f>
        <v>38.699999999999996</v>
      </c>
      <c r="J273" s="70">
        <f>SUM(J271:J272)</f>
        <v>0</v>
      </c>
      <c r="K273" s="227"/>
      <c r="L273" s="102"/>
      <c r="M273" s="102"/>
      <c r="N273" s="127"/>
    </row>
    <row r="274" spans="1:18" ht="13.5" thickBot="1">
      <c r="A274" s="1258" t="s">
        <v>7</v>
      </c>
      <c r="B274" s="1653"/>
      <c r="C274" s="1653"/>
      <c r="D274" s="1653"/>
      <c r="E274" s="1653"/>
      <c r="F274" s="1653"/>
      <c r="G274" s="1654"/>
      <c r="H274" s="91">
        <f>H270+H273</f>
        <v>1236</v>
      </c>
      <c r="I274" s="91">
        <f>I270+I273</f>
        <v>138.69999999999999</v>
      </c>
      <c r="J274" s="91">
        <f>J270+J273</f>
        <v>100</v>
      </c>
      <c r="K274" s="110"/>
      <c r="L274" s="144"/>
      <c r="M274" s="144"/>
      <c r="N274" s="145"/>
      <c r="R274" s="226">
        <f>SUMIF(R9:R272,"1",H9:H272)</f>
        <v>2490.7999999999997</v>
      </c>
    </row>
    <row r="275" spans="1:18" ht="13.5" thickBot="1">
      <c r="A275" s="1251" t="s">
        <v>8</v>
      </c>
      <c r="B275" s="1653"/>
      <c r="C275" s="1653"/>
      <c r="D275" s="1653"/>
      <c r="E275" s="1653"/>
      <c r="F275" s="1653"/>
      <c r="G275" s="1654"/>
      <c r="H275" s="112">
        <f>H101+H253+H274+H262</f>
        <v>13011.1</v>
      </c>
      <c r="I275" s="112">
        <f>I101+I253+I274+I262</f>
        <v>7177.3243999999995</v>
      </c>
      <c r="J275" s="112">
        <f>J101+J253+J274+J262</f>
        <v>5823.2179864</v>
      </c>
      <c r="K275" s="25"/>
      <c r="L275" s="135"/>
      <c r="M275" s="135"/>
      <c r="N275" s="136"/>
    </row>
    <row r="276" spans="1:18" ht="10.5" customHeight="1">
      <c r="A276" s="637"/>
      <c r="B276" s="38"/>
      <c r="C276" s="38"/>
      <c r="D276" s="9"/>
      <c r="E276" s="13"/>
      <c r="F276" s="13" t="s">
        <v>4</v>
      </c>
      <c r="G276" s="13"/>
      <c r="H276" s="13"/>
      <c r="I276" s="21"/>
      <c r="J276" s="21"/>
      <c r="K276" s="21"/>
      <c r="L276" s="137"/>
      <c r="M276" s="137"/>
      <c r="N276" s="137"/>
    </row>
    <row r="277" spans="1:18" ht="10.5" customHeight="1">
      <c r="A277" s="15"/>
      <c r="B277" s="10"/>
      <c r="C277" s="31"/>
      <c r="D277" s="16"/>
      <c r="E277" s="17"/>
      <c r="F277" s="17"/>
      <c r="G277" s="26" t="s">
        <v>81</v>
      </c>
      <c r="H277" s="236">
        <f>SUMIF($G$8:$G$272,"SB",H$8:H$272)</f>
        <v>6704.7999999999984</v>
      </c>
      <c r="I277" s="236">
        <f>SUMIF($G$9:$G$272,"SB",I$9:I$272)</f>
        <v>5126.8315999999995</v>
      </c>
      <c r="J277" s="236">
        <f>SUMIF($G$9:$G$272,"SB",J$9:J$272)</f>
        <v>3705.8473895999991</v>
      </c>
      <c r="K277" s="148"/>
      <c r="L277" s="138"/>
      <c r="M277" s="138"/>
      <c r="N277" s="138"/>
    </row>
    <row r="278" spans="1:18" ht="10.5" customHeight="1">
      <c r="A278" s="15"/>
      <c r="B278" s="55"/>
      <c r="C278" s="20"/>
      <c r="D278" s="16"/>
      <c r="E278" s="17"/>
      <c r="F278" s="17"/>
      <c r="G278" s="26" t="s">
        <v>82</v>
      </c>
      <c r="H278" s="236">
        <f>SUMIF($G$8:$G$272,"VB-STD",H$8:H$272)</f>
        <v>0</v>
      </c>
      <c r="I278" s="236">
        <f>SUMIF($G$8:$G$272,"VB-STD",I$8:I$272)</f>
        <v>0</v>
      </c>
      <c r="J278" s="236">
        <f>SUMIF($G$8:$G$272,"VB-STD",J$8:J$272)</f>
        <v>0</v>
      </c>
      <c r="K278" s="94"/>
      <c r="L278" s="128"/>
      <c r="M278" s="128"/>
      <c r="N278" s="128"/>
    </row>
    <row r="279" spans="1:18" ht="10.5" customHeight="1">
      <c r="A279" s="15"/>
      <c r="B279" s="55"/>
      <c r="C279" s="20"/>
      <c r="D279" s="7"/>
      <c r="E279" s="8"/>
      <c r="F279" s="8"/>
      <c r="G279" s="26" t="s">
        <v>83</v>
      </c>
      <c r="H279" s="236">
        <f>SUMIF($G$8:$G$272,"ES",H$8:H$272)</f>
        <v>2821.8999999999996</v>
      </c>
      <c r="I279" s="236">
        <f>SUMIF($G$8:$G$272,"ES",I$8:I$272)</f>
        <v>440.5</v>
      </c>
      <c r="J279" s="236">
        <f>SUMIF($G$8:$G$272,"ES",J$8:J$272)</f>
        <v>382.4</v>
      </c>
      <c r="K279" s="94"/>
      <c r="L279" s="128"/>
      <c r="M279" s="128"/>
      <c r="N279" s="128"/>
    </row>
    <row r="280" spans="1:18" ht="10.5" customHeight="1">
      <c r="A280" s="15"/>
      <c r="B280" s="55"/>
      <c r="C280" s="20"/>
      <c r="D280" s="7"/>
      <c r="E280" s="8"/>
      <c r="F280" s="8"/>
      <c r="G280" s="26" t="s">
        <v>84</v>
      </c>
      <c r="H280" s="236">
        <f>SUMIF($G$8:$G$272,"SAARS",H$8:H$272)</f>
        <v>0</v>
      </c>
      <c r="I280" s="236">
        <f>SUMIF($G$8:$G$272,"SAARS",I$8:I$272)</f>
        <v>0</v>
      </c>
      <c r="J280" s="236">
        <f>SUMIF($G$8:$G$272,"SAARS",J$8:J$272)</f>
        <v>0</v>
      </c>
      <c r="K280" s="94"/>
      <c r="L280" s="128"/>
      <c r="M280" s="128"/>
      <c r="N280" s="128"/>
    </row>
    <row r="281" spans="1:18" ht="10.5" customHeight="1">
      <c r="A281" s="15"/>
      <c r="B281" s="55"/>
      <c r="C281" s="20"/>
      <c r="D281" s="7"/>
      <c r="E281" s="8"/>
      <c r="F281" s="8"/>
      <c r="G281" s="26" t="s">
        <v>85</v>
      </c>
      <c r="H281" s="236">
        <f>SUMIF($G$8:$G$272,"KPPP",H$8:H$272)</f>
        <v>990.59999999999991</v>
      </c>
      <c r="I281" s="236">
        <f>SUMIF($G$8:$G$272,"KPPP",I$8:I$272)</f>
        <v>650.66</v>
      </c>
      <c r="J281" s="236">
        <f>SUMIF($G$8:$G$272,"KPPP",J$8:J$272)</f>
        <v>464.3</v>
      </c>
      <c r="K281" s="94"/>
      <c r="L281" s="128"/>
      <c r="M281" s="128"/>
      <c r="N281" s="128"/>
    </row>
    <row r="282" spans="1:18" ht="15" customHeight="1">
      <c r="A282" s="15"/>
      <c r="B282" s="55"/>
      <c r="C282" s="20"/>
      <c r="D282" s="7"/>
      <c r="E282" s="8"/>
      <c r="F282" s="8"/>
      <c r="G282" s="27" t="s">
        <v>86</v>
      </c>
      <c r="H282" s="236">
        <f>SUMIF($G$8:$G$272,"UF",H$8:H$272)</f>
        <v>0</v>
      </c>
      <c r="I282" s="236">
        <f>SUMIF($G$8:$G$272,"UF",I$8:I$272)</f>
        <v>0</v>
      </c>
      <c r="J282" s="236">
        <f>SUMIF($G$8:$G$272,"UF",J$8:J$272)</f>
        <v>0</v>
      </c>
      <c r="K282" s="94"/>
      <c r="L282" s="128"/>
      <c r="M282" s="128"/>
      <c r="N282" s="128"/>
    </row>
    <row r="283" spans="1:18" ht="10.5" customHeight="1">
      <c r="A283" s="15"/>
      <c r="B283" s="55"/>
      <c r="C283" s="20"/>
      <c r="D283" s="7"/>
      <c r="E283" s="8"/>
      <c r="F283" s="8"/>
      <c r="G283" s="26" t="s">
        <v>87</v>
      </c>
      <c r="H283" s="236">
        <f>SUMIF($G$8:$G$272,"VB",H$8:H$272)</f>
        <v>2293.6999999999998</v>
      </c>
      <c r="I283" s="236">
        <f>SUMIF($G$8:$G$272,"VB",I$8:I$272)</f>
        <v>751.5</v>
      </c>
      <c r="J283" s="236">
        <f>SUMIF($G$8:$G$272,"VB",J$8:J$272)</f>
        <v>1089</v>
      </c>
      <c r="K283" s="94"/>
      <c r="L283" s="128"/>
      <c r="M283" s="128"/>
      <c r="N283" s="128"/>
    </row>
    <row r="284" spans="1:18" ht="10.5" customHeight="1">
      <c r="A284" s="15"/>
      <c r="B284" s="55"/>
      <c r="C284" s="20"/>
      <c r="D284" s="7"/>
      <c r="E284" s="8"/>
      <c r="F284" s="8"/>
      <c r="G284" s="26" t="s">
        <v>88</v>
      </c>
      <c r="H284" s="236">
        <f>SUMIF($G$8:$G$272,"SL",H$8:H$272)</f>
        <v>0</v>
      </c>
      <c r="I284" s="236">
        <f>SUMIF($G$8:$G$272,"SL",I$8:I$272)</f>
        <v>0</v>
      </c>
      <c r="J284" s="236">
        <f>SUMIF($G$8:$G$272,"SL",J$8:J$272)</f>
        <v>0</v>
      </c>
      <c r="K284" s="94"/>
      <c r="L284" s="128"/>
      <c r="M284" s="128"/>
      <c r="N284" s="128"/>
    </row>
    <row r="285" spans="1:18" ht="10.5" customHeight="1">
      <c r="A285" s="24"/>
      <c r="B285" s="11"/>
      <c r="C285" s="23"/>
      <c r="D285" s="7"/>
      <c r="E285" s="8"/>
      <c r="F285" s="8"/>
      <c r="G285" s="26" t="s">
        <v>89</v>
      </c>
      <c r="H285" s="236">
        <f>SUMIF($G$8:$G$272,"PL",H$8:H$272)</f>
        <v>0</v>
      </c>
      <c r="I285" s="236">
        <f>SUMIF($G$8:$G$272,"PL",I$8:I$272)</f>
        <v>0</v>
      </c>
      <c r="J285" s="236">
        <f>SUMIF($G$8:$G$272,"PL",J$8:J$272)</f>
        <v>0</v>
      </c>
      <c r="K285" s="94"/>
      <c r="L285" s="128"/>
      <c r="M285" s="128"/>
      <c r="N285" s="128"/>
    </row>
    <row r="286" spans="1:18" ht="10.5" customHeight="1">
      <c r="A286" s="24"/>
      <c r="B286" s="11"/>
      <c r="C286" s="23"/>
      <c r="D286" s="16"/>
      <c r="E286" s="17"/>
      <c r="F286" s="17"/>
      <c r="G286" s="26" t="s">
        <v>90</v>
      </c>
      <c r="H286" s="236">
        <f>SUMIF($G$8:$G$272,"KL",H$8:H$272)</f>
        <v>20</v>
      </c>
      <c r="I286" s="236">
        <f>SUMIF($G$8:$G$272,"KL",I$8:I$272)</f>
        <v>27</v>
      </c>
      <c r="J286" s="236">
        <f>SUMIF($G$8:$G$272,"KL",J$8:J$272)</f>
        <v>0</v>
      </c>
      <c r="K286" s="148"/>
      <c r="L286" s="138"/>
      <c r="M286" s="138"/>
      <c r="N286" s="138"/>
    </row>
    <row r="287" spans="1:18" ht="10.5" customHeight="1">
      <c r="A287" s="15"/>
      <c r="B287" s="402"/>
      <c r="C287" s="403"/>
      <c r="D287" s="16"/>
      <c r="E287" s="17"/>
      <c r="F287" s="17"/>
      <c r="G287" s="26" t="s">
        <v>91</v>
      </c>
      <c r="H287" s="236">
        <f>SUMIF($G$8:$G$272,"TPP",H$8:H$272)</f>
        <v>180.10000000000002</v>
      </c>
      <c r="I287" s="236">
        <f>SUMIF($G$8:$G$272,"TPP",I$8:I$272)</f>
        <v>180.83280000000002</v>
      </c>
      <c r="J287" s="236">
        <f>SUMIF($G$8:$G$272,"TPP",J$8:J$272)</f>
        <v>181.6705968</v>
      </c>
      <c r="K287" s="94"/>
      <c r="L287" s="128"/>
      <c r="M287" s="128"/>
      <c r="N287" s="128"/>
    </row>
    <row r="288" spans="1:18" ht="10.5" customHeight="1">
      <c r="A288" s="14"/>
      <c r="G288" s="28" t="s">
        <v>8</v>
      </c>
      <c r="H288" s="404">
        <f>SUM(H277:H287)</f>
        <v>13011.099999999997</v>
      </c>
      <c r="I288" s="404">
        <f>SUM(I277:I287)</f>
        <v>7177.3243999999995</v>
      </c>
      <c r="J288" s="404">
        <f>SUM(J277:J287)</f>
        <v>5823.2179863999991</v>
      </c>
      <c r="K288" s="49"/>
      <c r="L288" s="139"/>
      <c r="M288" s="405"/>
      <c r="N288" s="405"/>
    </row>
    <row r="289" spans="1:14">
      <c r="A289" s="14"/>
      <c r="H289" s="563"/>
      <c r="I289" s="563"/>
      <c r="J289" s="563"/>
      <c r="K289" s="212"/>
      <c r="L289" s="826"/>
      <c r="M289" s="827"/>
      <c r="N289" s="827"/>
    </row>
    <row r="290" spans="1:14">
      <c r="M290" s="14"/>
      <c r="N290" s="14"/>
    </row>
    <row r="291" spans="1:14">
      <c r="M291" s="14"/>
      <c r="N291" s="14"/>
    </row>
  </sheetData>
  <mergeCells count="388">
    <mergeCell ref="K254:K255"/>
    <mergeCell ref="L254:L255"/>
    <mergeCell ref="M254:M255"/>
    <mergeCell ref="N254:N255"/>
    <mergeCell ref="K199:K200"/>
    <mergeCell ref="L199:L200"/>
    <mergeCell ref="M199:M200"/>
    <mergeCell ref="N199:N200"/>
    <mergeCell ref="N216:N217"/>
    <mergeCell ref="N204:N205"/>
    <mergeCell ref="M216:M217"/>
    <mergeCell ref="K216:K217"/>
    <mergeCell ref="L216:L217"/>
    <mergeCell ref="C119:E120"/>
    <mergeCell ref="F119:F120"/>
    <mergeCell ref="F199:F201"/>
    <mergeCell ref="C203:E205"/>
    <mergeCell ref="F203:F205"/>
    <mergeCell ref="K204:K205"/>
    <mergeCell ref="L204:L205"/>
    <mergeCell ref="M204:M205"/>
    <mergeCell ref="H189:H190"/>
    <mergeCell ref="I189:I190"/>
    <mergeCell ref="J189:J190"/>
    <mergeCell ref="C197:E197"/>
    <mergeCell ref="C194:G194"/>
    <mergeCell ref="F189:F190"/>
    <mergeCell ref="C189:E190"/>
    <mergeCell ref="C191:G191"/>
    <mergeCell ref="K192:K193"/>
    <mergeCell ref="L192:L193"/>
    <mergeCell ref="M192:M193"/>
    <mergeCell ref="C148:E150"/>
    <mergeCell ref="F148:F150"/>
    <mergeCell ref="G148:G150"/>
    <mergeCell ref="J161:J162"/>
    <mergeCell ref="C87:E87"/>
    <mergeCell ref="G102:G104"/>
    <mergeCell ref="C97:E98"/>
    <mergeCell ref="N192:N193"/>
    <mergeCell ref="C185:E187"/>
    <mergeCell ref="C177:G177"/>
    <mergeCell ref="H185:H186"/>
    <mergeCell ref="I185:I186"/>
    <mergeCell ref="J185:J186"/>
    <mergeCell ref="F185:F186"/>
    <mergeCell ref="I102:I104"/>
    <mergeCell ref="J102:J104"/>
    <mergeCell ref="C136:E137"/>
    <mergeCell ref="F109:F111"/>
    <mergeCell ref="G109:G111"/>
    <mergeCell ref="F128:F130"/>
    <mergeCell ref="H122:H123"/>
    <mergeCell ref="I122:I123"/>
    <mergeCell ref="J122:J123"/>
    <mergeCell ref="H148:H150"/>
    <mergeCell ref="I148:I150"/>
    <mergeCell ref="J148:J150"/>
    <mergeCell ref="C147:G147"/>
    <mergeCell ref="I113:I115"/>
    <mergeCell ref="C89:E90"/>
    <mergeCell ref="C91:G91"/>
    <mergeCell ref="C70:G70"/>
    <mergeCell ref="C68:G68"/>
    <mergeCell ref="H102:H104"/>
    <mergeCell ref="N174:N175"/>
    <mergeCell ref="K178:K179"/>
    <mergeCell ref="L178:L179"/>
    <mergeCell ref="M178:M179"/>
    <mergeCell ref="N178:N179"/>
    <mergeCell ref="J136:J137"/>
    <mergeCell ref="J128:J130"/>
    <mergeCell ref="C77:E77"/>
    <mergeCell ref="I109:I111"/>
    <mergeCell ref="J109:J111"/>
    <mergeCell ref="K174:K175"/>
    <mergeCell ref="L174:L175"/>
    <mergeCell ref="M174:M175"/>
    <mergeCell ref="C88:G88"/>
    <mergeCell ref="C85:E85"/>
    <mergeCell ref="C86:G86"/>
    <mergeCell ref="C82:E83"/>
    <mergeCell ref="C81:G81"/>
    <mergeCell ref="C84:G84"/>
    <mergeCell ref="K3:L3"/>
    <mergeCell ref="A2:J2"/>
    <mergeCell ref="F27:F29"/>
    <mergeCell ref="G27:G29"/>
    <mergeCell ref="H27:H29"/>
    <mergeCell ref="I27:I29"/>
    <mergeCell ref="J27:J29"/>
    <mergeCell ref="F45:F48"/>
    <mergeCell ref="G45:G48"/>
    <mergeCell ref="H45:H48"/>
    <mergeCell ref="A6:A8"/>
    <mergeCell ref="J22:J26"/>
    <mergeCell ref="H36:H42"/>
    <mergeCell ref="F30:F35"/>
    <mergeCell ref="G30:G35"/>
    <mergeCell ref="H30:H35"/>
    <mergeCell ref="I30:I35"/>
    <mergeCell ref="J30:J35"/>
    <mergeCell ref="J36:J42"/>
    <mergeCell ref="B6:B8"/>
    <mergeCell ref="C6:C8"/>
    <mergeCell ref="D6:D8"/>
    <mergeCell ref="E6:E8"/>
    <mergeCell ref="A3:J3"/>
    <mergeCell ref="N171:N172"/>
    <mergeCell ref="H136:H137"/>
    <mergeCell ref="C112:G112"/>
    <mergeCell ref="C116:G116"/>
    <mergeCell ref="C118:G118"/>
    <mergeCell ref="C117:E117"/>
    <mergeCell ref="C113:E115"/>
    <mergeCell ref="F113:F115"/>
    <mergeCell ref="G113:G115"/>
    <mergeCell ref="C139:E139"/>
    <mergeCell ref="H113:H115"/>
    <mergeCell ref="C134:E134"/>
    <mergeCell ref="C131:G131"/>
    <mergeCell ref="C128:E130"/>
    <mergeCell ref="H128:H130"/>
    <mergeCell ref="I128:I130"/>
    <mergeCell ref="K171:K172"/>
    <mergeCell ref="L171:L172"/>
    <mergeCell ref="M171:M172"/>
    <mergeCell ref="C133:G133"/>
    <mergeCell ref="C153:G153"/>
    <mergeCell ref="C154:E154"/>
    <mergeCell ref="C135:G135"/>
    <mergeCell ref="J119:J120"/>
    <mergeCell ref="I136:I137"/>
    <mergeCell ref="C124:G124"/>
    <mergeCell ref="C140:G140"/>
    <mergeCell ref="C141:E141"/>
    <mergeCell ref="C142:G142"/>
    <mergeCell ref="H125:H126"/>
    <mergeCell ref="I125:I126"/>
    <mergeCell ref="J125:J126"/>
    <mergeCell ref="C160:G160"/>
    <mergeCell ref="C132:E132"/>
    <mergeCell ref="F125:F126"/>
    <mergeCell ref="G125:G126"/>
    <mergeCell ref="C127:G127"/>
    <mergeCell ref="H161:H162"/>
    <mergeCell ref="C121:G121"/>
    <mergeCell ref="C122:E123"/>
    <mergeCell ref="F122:F123"/>
    <mergeCell ref="G122:G123"/>
    <mergeCell ref="B56:G56"/>
    <mergeCell ref="F52:F54"/>
    <mergeCell ref="G52:G54"/>
    <mergeCell ref="F50:F51"/>
    <mergeCell ref="C93:E93"/>
    <mergeCell ref="C94:G94"/>
    <mergeCell ref="A101:G101"/>
    <mergeCell ref="A9:A100"/>
    <mergeCell ref="C64:G64"/>
    <mergeCell ref="C109:E111"/>
    <mergeCell ref="C21:E54"/>
    <mergeCell ref="C55:G55"/>
    <mergeCell ref="C58:G58"/>
    <mergeCell ref="F97:F98"/>
    <mergeCell ref="B93:B98"/>
    <mergeCell ref="C76:G76"/>
    <mergeCell ref="C75:E75"/>
    <mergeCell ref="C78:G78"/>
    <mergeCell ref="C62:G62"/>
    <mergeCell ref="G36:G42"/>
    <mergeCell ref="B102:B183"/>
    <mergeCell ref="C166:E168"/>
    <mergeCell ref="C66:G66"/>
    <mergeCell ref="C65:E65"/>
    <mergeCell ref="C69:E69"/>
    <mergeCell ref="C71:E71"/>
    <mergeCell ref="C73:E73"/>
    <mergeCell ref="C79:E80"/>
    <mergeCell ref="C72:G72"/>
    <mergeCell ref="C74:G74"/>
    <mergeCell ref="C108:G108"/>
    <mergeCell ref="B92:G92"/>
    <mergeCell ref="B57:B91"/>
    <mergeCell ref="C67:E67"/>
    <mergeCell ref="C173:G173"/>
    <mergeCell ref="C169:G169"/>
    <mergeCell ref="C155:G155"/>
    <mergeCell ref="F36:F42"/>
    <mergeCell ref="C57:E57"/>
    <mergeCell ref="C59:E59"/>
    <mergeCell ref="C61:E61"/>
    <mergeCell ref="C60:G60"/>
    <mergeCell ref="C63:E63"/>
    <mergeCell ref="F43:F44"/>
    <mergeCell ref="G43:G44"/>
    <mergeCell ref="J50:J51"/>
    <mergeCell ref="I52:I54"/>
    <mergeCell ref="J52:J54"/>
    <mergeCell ref="H43:H44"/>
    <mergeCell ref="G119:G120"/>
    <mergeCell ref="H119:H120"/>
    <mergeCell ref="I119:I120"/>
    <mergeCell ref="I43:I44"/>
    <mergeCell ref="J113:J115"/>
    <mergeCell ref="G189:G190"/>
    <mergeCell ref="C196:G196"/>
    <mergeCell ref="F192:F193"/>
    <mergeCell ref="B184:G184"/>
    <mergeCell ref="C188:G188"/>
    <mergeCell ref="B207:G207"/>
    <mergeCell ref="C151:G151"/>
    <mergeCell ref="C152:E152"/>
    <mergeCell ref="B185:B206"/>
    <mergeCell ref="F174:F176"/>
    <mergeCell ref="C178:E180"/>
    <mergeCell ref="F178:F180"/>
    <mergeCell ref="C206:G206"/>
    <mergeCell ref="C199:E201"/>
    <mergeCell ref="C156:E156"/>
    <mergeCell ref="C157:G157"/>
    <mergeCell ref="C158:E159"/>
    <mergeCell ref="C198:G198"/>
    <mergeCell ref="C182:E182"/>
    <mergeCell ref="C183:G183"/>
    <mergeCell ref="C170:E172"/>
    <mergeCell ref="F170:F172"/>
    <mergeCell ref="C165:G165"/>
    <mergeCell ref="I161:I162"/>
    <mergeCell ref="J217:J218"/>
    <mergeCell ref="C245:G245"/>
    <mergeCell ref="C237:G237"/>
    <mergeCell ref="C229:E231"/>
    <mergeCell ref="C238:G238"/>
    <mergeCell ref="C222:G222"/>
    <mergeCell ref="J229:J230"/>
    <mergeCell ref="J220:J221"/>
    <mergeCell ref="C220:E221"/>
    <mergeCell ref="F220:F221"/>
    <mergeCell ref="G220:G221"/>
    <mergeCell ref="H220:H221"/>
    <mergeCell ref="C163:G163"/>
    <mergeCell ref="C164:E164"/>
    <mergeCell ref="F216:F218"/>
    <mergeCell ref="C208:E209"/>
    <mergeCell ref="C161:E162"/>
    <mergeCell ref="F161:F162"/>
    <mergeCell ref="G161:G162"/>
    <mergeCell ref="F166:F168"/>
    <mergeCell ref="J211:J212"/>
    <mergeCell ref="C181:G181"/>
    <mergeCell ref="C174:E176"/>
    <mergeCell ref="A253:G253"/>
    <mergeCell ref="C247:G247"/>
    <mergeCell ref="C248:E248"/>
    <mergeCell ref="C249:G249"/>
    <mergeCell ref="B252:G252"/>
    <mergeCell ref="C246:E246"/>
    <mergeCell ref="C227:G227"/>
    <mergeCell ref="B244:B251"/>
    <mergeCell ref="B239:B241"/>
    <mergeCell ref="B228:G228"/>
    <mergeCell ref="F229:F231"/>
    <mergeCell ref="B229:B237"/>
    <mergeCell ref="A102:A252"/>
    <mergeCell ref="B243:G243"/>
    <mergeCell ref="C195:E195"/>
    <mergeCell ref="F102:F104"/>
    <mergeCell ref="C107:E107"/>
    <mergeCell ref="G128:G130"/>
    <mergeCell ref="C138:G138"/>
    <mergeCell ref="F136:F137"/>
    <mergeCell ref="G136:G137"/>
    <mergeCell ref="C102:E105"/>
    <mergeCell ref="C106:G106"/>
    <mergeCell ref="C125:E126"/>
    <mergeCell ref="A275:G275"/>
    <mergeCell ref="A262:G262"/>
    <mergeCell ref="A254:A261"/>
    <mergeCell ref="C260:G260"/>
    <mergeCell ref="B254:B260"/>
    <mergeCell ref="B261:G261"/>
    <mergeCell ref="C257:E257"/>
    <mergeCell ref="C258:G258"/>
    <mergeCell ref="C259:E259"/>
    <mergeCell ref="C256:G256"/>
    <mergeCell ref="C254:E255"/>
    <mergeCell ref="A274:G274"/>
    <mergeCell ref="B270:G270"/>
    <mergeCell ref="C271:E272"/>
    <mergeCell ref="F271:F272"/>
    <mergeCell ref="C273:G273"/>
    <mergeCell ref="A263:A273"/>
    <mergeCell ref="B271:B273"/>
    <mergeCell ref="F267:F268"/>
    <mergeCell ref="C267:E268"/>
    <mergeCell ref="B263:B269"/>
    <mergeCell ref="C263:E263"/>
    <mergeCell ref="C264:G264"/>
    <mergeCell ref="C265:E265"/>
    <mergeCell ref="K6:N6"/>
    <mergeCell ref="K7:K8"/>
    <mergeCell ref="L7:N7"/>
    <mergeCell ref="F6:F8"/>
    <mergeCell ref="G6:G8"/>
    <mergeCell ref="H6:H8"/>
    <mergeCell ref="I6:I8"/>
    <mergeCell ref="J6:J8"/>
    <mergeCell ref="C20:G20"/>
    <mergeCell ref="L11:L12"/>
    <mergeCell ref="M11:M12"/>
    <mergeCell ref="N11:N12"/>
    <mergeCell ref="L16:L19"/>
    <mergeCell ref="M16:M19"/>
    <mergeCell ref="N16:N19"/>
    <mergeCell ref="K14:K15"/>
    <mergeCell ref="L14:L15"/>
    <mergeCell ref="M14:M15"/>
    <mergeCell ref="N14:N15"/>
    <mergeCell ref="K11:K12"/>
    <mergeCell ref="K16:K19"/>
    <mergeCell ref="C11:E19"/>
    <mergeCell ref="C9:E9"/>
    <mergeCell ref="C10:G10"/>
    <mergeCell ref="H109:H111"/>
    <mergeCell ref="C143:E146"/>
    <mergeCell ref="F143:F146"/>
    <mergeCell ref="G143:G146"/>
    <mergeCell ref="H143:H146"/>
    <mergeCell ref="I143:I146"/>
    <mergeCell ref="J143:J146"/>
    <mergeCell ref="B9:B55"/>
    <mergeCell ref="C95:E95"/>
    <mergeCell ref="C96:G96"/>
    <mergeCell ref="B100:G100"/>
    <mergeCell ref="C99:G99"/>
    <mergeCell ref="J43:J44"/>
    <mergeCell ref="I45:I48"/>
    <mergeCell ref="J45:J48"/>
    <mergeCell ref="I50:I51"/>
    <mergeCell ref="F22:F26"/>
    <mergeCell ref="H52:H54"/>
    <mergeCell ref="I36:I42"/>
    <mergeCell ref="H22:H26"/>
    <mergeCell ref="I22:I26"/>
    <mergeCell ref="G50:G51"/>
    <mergeCell ref="H50:H51"/>
    <mergeCell ref="G22:G26"/>
    <mergeCell ref="C266:G266"/>
    <mergeCell ref="C269:G269"/>
    <mergeCell ref="G185:G186"/>
    <mergeCell ref="G229:G230"/>
    <mergeCell ref="H229:H230"/>
    <mergeCell ref="C223:E223"/>
    <mergeCell ref="C224:G224"/>
    <mergeCell ref="F225:F226"/>
    <mergeCell ref="C225:E226"/>
    <mergeCell ref="C202:G202"/>
    <mergeCell ref="F211:F213"/>
    <mergeCell ref="C242:G242"/>
    <mergeCell ref="C239:E239"/>
    <mergeCell ref="C240:G240"/>
    <mergeCell ref="C250:E250"/>
    <mergeCell ref="C251:G251"/>
    <mergeCell ref="G211:G212"/>
    <mergeCell ref="C234:G234"/>
    <mergeCell ref="H211:H212"/>
    <mergeCell ref="C241:E241"/>
    <mergeCell ref="C244:E244"/>
    <mergeCell ref="C216:E218"/>
    <mergeCell ref="H217:H218"/>
    <mergeCell ref="C192:E193"/>
    <mergeCell ref="I229:I230"/>
    <mergeCell ref="C232:G232"/>
    <mergeCell ref="C233:E233"/>
    <mergeCell ref="C235:E236"/>
    <mergeCell ref="F235:F236"/>
    <mergeCell ref="B216:B227"/>
    <mergeCell ref="B208:B214"/>
    <mergeCell ref="C219:G219"/>
    <mergeCell ref="G217:G218"/>
    <mergeCell ref="I220:I221"/>
    <mergeCell ref="I217:I218"/>
    <mergeCell ref="C210:G210"/>
    <mergeCell ref="C211:E213"/>
    <mergeCell ref="I211:I212"/>
    <mergeCell ref="B215:G215"/>
    <mergeCell ref="C214:G214"/>
    <mergeCell ref="F208:F209"/>
  </mergeCells>
  <phoneticPr fontId="6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>
    <oddHeader>&amp;C7.1.-&amp;P</oddHeader>
  </headerFooter>
  <rowBreaks count="5" manualBreakCount="5">
    <brk id="56" max="13" man="1"/>
    <brk id="101" max="13" man="1"/>
    <brk id="160" max="13" man="1"/>
    <brk id="215" max="13" man="1"/>
    <brk id="253" max="13" man="1"/>
  </rowBreaks>
  <ignoredErrors>
    <ignoredError sqref="I197:J197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  <pageSetUpPr fitToPage="1"/>
  </sheetPr>
  <dimension ref="A1:O156"/>
  <sheetViews>
    <sheetView topLeftCell="A114" zoomScaleNormal="100" zoomScaleSheetLayoutView="100" workbookViewId="0">
      <selection activeCell="C120" sqref="C120:N120"/>
    </sheetView>
  </sheetViews>
  <sheetFormatPr defaultColWidth="7.85546875" defaultRowHeight="12.75"/>
  <cols>
    <col min="1" max="1" width="9.28515625" style="54" customWidth="1"/>
    <col min="2" max="2" width="10.140625" style="18" customWidth="1"/>
    <col min="3" max="4" width="8.7109375" style="18" customWidth="1"/>
    <col min="5" max="5" width="11.42578125" style="18" customWidth="1"/>
    <col min="6" max="6" width="12.7109375" style="18" customWidth="1"/>
    <col min="7" max="7" width="7.140625" style="2" customWidth="1"/>
    <col min="8" max="8" width="8.7109375" style="2" customWidth="1"/>
    <col min="9" max="10" width="8.7109375" style="226" customWidth="1"/>
    <col min="11" max="11" width="32" style="226" customWidth="1"/>
    <col min="12" max="14" width="7.7109375" style="226" customWidth="1"/>
    <col min="15" max="16384" width="7.85546875" style="226"/>
  </cols>
  <sheetData>
    <row r="1" spans="1:14" ht="15.75">
      <c r="A1" s="42" t="s">
        <v>406</v>
      </c>
      <c r="B1" s="43"/>
      <c r="C1" s="43"/>
      <c r="D1" s="43"/>
      <c r="E1" s="43"/>
      <c r="F1" s="43"/>
      <c r="G1" s="43"/>
      <c r="H1" s="43">
        <v>0</v>
      </c>
      <c r="I1" s="43"/>
      <c r="J1" s="43"/>
      <c r="K1" s="226" t="s">
        <v>405</v>
      </c>
    </row>
    <row r="2" spans="1:14" ht="15.75">
      <c r="A2" s="44" t="s">
        <v>109</v>
      </c>
      <c r="B2" s="45"/>
      <c r="C2" s="45"/>
      <c r="D2" s="45"/>
      <c r="E2" s="45"/>
      <c r="F2" s="45"/>
      <c r="G2" s="45"/>
      <c r="H2" s="45"/>
      <c r="I2" s="45"/>
      <c r="J2" s="45"/>
      <c r="K2" s="226" t="s">
        <v>65</v>
      </c>
    </row>
    <row r="3" spans="1:14" ht="34.5" customHeight="1">
      <c r="A3" s="1311" t="s">
        <v>75</v>
      </c>
      <c r="B3" s="1311"/>
      <c r="C3" s="1311"/>
      <c r="D3" s="1311"/>
      <c r="E3" s="1311"/>
      <c r="F3" s="1311"/>
      <c r="G3" s="1311"/>
      <c r="H3" s="1311"/>
      <c r="I3" s="1311"/>
      <c r="J3" s="1311"/>
      <c r="K3" s="1734" t="s">
        <v>403</v>
      </c>
      <c r="L3" s="1734"/>
    </row>
    <row r="4" spans="1:14" ht="15.75">
      <c r="A4" s="3"/>
      <c r="B4" s="3"/>
      <c r="C4" s="3"/>
      <c r="D4" s="3"/>
      <c r="E4" s="3"/>
      <c r="F4" s="3"/>
      <c r="G4" s="3"/>
      <c r="H4" s="3"/>
      <c r="I4" s="3"/>
      <c r="J4" s="3"/>
      <c r="K4" s="226" t="s">
        <v>55</v>
      </c>
    </row>
    <row r="5" spans="1:14" ht="8.25" customHeight="1" thickBot="1">
      <c r="A5" s="14"/>
      <c r="B5" s="14"/>
      <c r="C5" s="14"/>
      <c r="D5" s="14"/>
      <c r="E5" s="14"/>
      <c r="F5" s="14"/>
      <c r="G5" s="14"/>
      <c r="H5" s="14"/>
      <c r="I5" s="9"/>
      <c r="J5" s="9"/>
      <c r="L5" s="9"/>
      <c r="M5" s="9"/>
      <c r="N5" s="9"/>
    </row>
    <row r="6" spans="1:14" ht="13.5" customHeight="1" thickBot="1">
      <c r="A6" s="1182" t="s">
        <v>68</v>
      </c>
      <c r="B6" s="1185" t="s">
        <v>69</v>
      </c>
      <c r="C6" s="1185" t="s">
        <v>70</v>
      </c>
      <c r="D6" s="1188" t="s">
        <v>27</v>
      </c>
      <c r="E6" s="1191" t="s">
        <v>71</v>
      </c>
      <c r="F6" s="1185" t="s">
        <v>5</v>
      </c>
      <c r="G6" s="1236" t="s">
        <v>72</v>
      </c>
      <c r="H6" s="1185" t="s">
        <v>449</v>
      </c>
      <c r="I6" s="1233" t="s">
        <v>390</v>
      </c>
      <c r="J6" s="1230" t="s">
        <v>450</v>
      </c>
      <c r="K6" s="1817" t="s">
        <v>73</v>
      </c>
      <c r="L6" s="1818"/>
      <c r="M6" s="1818"/>
      <c r="N6" s="1819"/>
    </row>
    <row r="7" spans="1:14" ht="13.5" customHeight="1">
      <c r="A7" s="1183"/>
      <c r="B7" s="1186"/>
      <c r="C7" s="1186"/>
      <c r="D7" s="1189"/>
      <c r="E7" s="1192"/>
      <c r="F7" s="1186"/>
      <c r="G7" s="1237"/>
      <c r="H7" s="1186"/>
      <c r="I7" s="1234"/>
      <c r="J7" s="1231"/>
      <c r="K7" s="1808" t="s">
        <v>27</v>
      </c>
      <c r="L7" s="1809" t="s">
        <v>74</v>
      </c>
      <c r="M7" s="1810"/>
      <c r="N7" s="1811"/>
    </row>
    <row r="8" spans="1:14" ht="151.5" customHeight="1" thickBot="1">
      <c r="A8" s="1184"/>
      <c r="B8" s="1187"/>
      <c r="C8" s="1187"/>
      <c r="D8" s="1190"/>
      <c r="E8" s="1193"/>
      <c r="F8" s="1187"/>
      <c r="G8" s="1238"/>
      <c r="H8" s="1187"/>
      <c r="I8" s="1235"/>
      <c r="J8" s="1232"/>
      <c r="K8" s="1226"/>
      <c r="L8" s="46" t="s">
        <v>177</v>
      </c>
      <c r="M8" s="46" t="s">
        <v>278</v>
      </c>
      <c r="N8" s="47" t="s">
        <v>407</v>
      </c>
    </row>
    <row r="9" spans="1:14" ht="17.25" customHeight="1">
      <c r="A9" s="1159" t="s">
        <v>287</v>
      </c>
      <c r="B9" s="1159" t="s">
        <v>288</v>
      </c>
      <c r="C9" s="1066" t="s">
        <v>41</v>
      </c>
      <c r="D9" s="1806"/>
      <c r="E9" s="1806"/>
      <c r="F9" s="1098" t="s">
        <v>112</v>
      </c>
      <c r="G9" s="1072" t="s">
        <v>79</v>
      </c>
      <c r="H9" s="1393">
        <f>340.2-14</f>
        <v>326.2</v>
      </c>
      <c r="I9" s="1393">
        <f>H9*1.006</f>
        <v>328.15719999999999</v>
      </c>
      <c r="J9" s="1393">
        <f>I9*1.006</f>
        <v>330.1261432</v>
      </c>
      <c r="K9" s="828" t="s">
        <v>525</v>
      </c>
      <c r="L9" s="687">
        <v>25</v>
      </c>
      <c r="M9" s="687">
        <v>25</v>
      </c>
      <c r="N9" s="683">
        <v>25</v>
      </c>
    </row>
    <row r="10" spans="1:14" ht="18.75" customHeight="1" thickBot="1">
      <c r="A10" s="1157"/>
      <c r="B10" s="1157"/>
      <c r="C10" s="1807"/>
      <c r="D10" s="1071"/>
      <c r="E10" s="1071"/>
      <c r="F10" s="1071"/>
      <c r="G10" s="1073"/>
      <c r="H10" s="1069"/>
      <c r="I10" s="1069"/>
      <c r="J10" s="1069"/>
      <c r="K10" s="829" t="s">
        <v>47</v>
      </c>
      <c r="L10" s="262">
        <v>251</v>
      </c>
      <c r="M10" s="262">
        <v>251</v>
      </c>
      <c r="N10" s="617">
        <v>251</v>
      </c>
    </row>
    <row r="11" spans="1:14" ht="13.5" thickBot="1">
      <c r="A11" s="1158"/>
      <c r="B11" s="1158"/>
      <c r="C11" s="1542" t="s">
        <v>76</v>
      </c>
      <c r="D11" s="1315"/>
      <c r="E11" s="1315"/>
      <c r="F11" s="1315"/>
      <c r="G11" s="1316"/>
      <c r="H11" s="343">
        <f>SUM(H9)</f>
        <v>326.2</v>
      </c>
      <c r="I11" s="344">
        <f>SUM(I9)</f>
        <v>328.15719999999999</v>
      </c>
      <c r="J11" s="344">
        <f>SUM(J9)</f>
        <v>330.1261432</v>
      </c>
      <c r="K11" s="186"/>
      <c r="L11" s="186"/>
      <c r="M11" s="186"/>
      <c r="N11" s="187"/>
    </row>
    <row r="12" spans="1:14" s="4" customFormat="1">
      <c r="A12" s="1158"/>
      <c r="B12" s="1158"/>
      <c r="C12" s="1090" t="s">
        <v>16</v>
      </c>
      <c r="D12" s="1091"/>
      <c r="E12" s="1092"/>
      <c r="F12" s="1201" t="s">
        <v>129</v>
      </c>
      <c r="G12" s="1120" t="s">
        <v>79</v>
      </c>
      <c r="H12" s="1440">
        <v>78.2</v>
      </c>
      <c r="I12" s="1461">
        <f>H12*1.006</f>
        <v>78.669200000000004</v>
      </c>
      <c r="J12" s="1523">
        <f>I12*1.006</f>
        <v>79.141215200000005</v>
      </c>
      <c r="K12" s="830" t="s">
        <v>180</v>
      </c>
      <c r="L12" s="306">
        <v>3</v>
      </c>
      <c r="M12" s="306">
        <v>3</v>
      </c>
      <c r="N12" s="620">
        <v>3</v>
      </c>
    </row>
    <row r="13" spans="1:14" s="4" customFormat="1">
      <c r="A13" s="1158"/>
      <c r="B13" s="1158"/>
      <c r="C13" s="1141"/>
      <c r="D13" s="1164"/>
      <c r="E13" s="1165"/>
      <c r="F13" s="1381"/>
      <c r="G13" s="1121"/>
      <c r="H13" s="1440"/>
      <c r="I13" s="1461"/>
      <c r="J13" s="1736"/>
      <c r="K13" s="831" t="s">
        <v>181</v>
      </c>
      <c r="L13" s="263">
        <v>80</v>
      </c>
      <c r="M13" s="263">
        <v>80</v>
      </c>
      <c r="N13" s="612">
        <v>80</v>
      </c>
    </row>
    <row r="14" spans="1:14" s="4" customFormat="1" ht="23.25" thickBot="1">
      <c r="A14" s="1158"/>
      <c r="B14" s="1158"/>
      <c r="C14" s="1146"/>
      <c r="D14" s="1147"/>
      <c r="E14" s="1148"/>
      <c r="F14" s="1150"/>
      <c r="G14" s="1151"/>
      <c r="H14" s="1816"/>
      <c r="I14" s="1349"/>
      <c r="J14" s="1401"/>
      <c r="K14" s="832" t="s">
        <v>282</v>
      </c>
      <c r="L14" s="458">
        <v>50</v>
      </c>
      <c r="M14" s="458">
        <v>50</v>
      </c>
      <c r="N14" s="580">
        <v>50</v>
      </c>
    </row>
    <row r="15" spans="1:14" ht="13.5" thickBot="1">
      <c r="A15" s="1158"/>
      <c r="B15" s="1158"/>
      <c r="C15" s="1259" t="s">
        <v>76</v>
      </c>
      <c r="D15" s="1315"/>
      <c r="E15" s="1315"/>
      <c r="F15" s="1315"/>
      <c r="G15" s="1316"/>
      <c r="H15" s="343">
        <f>SUM(H12)</f>
        <v>78.2</v>
      </c>
      <c r="I15" s="344">
        <f>SUM(I12)</f>
        <v>78.669200000000004</v>
      </c>
      <c r="J15" s="344">
        <f>SUM(J12)</f>
        <v>79.141215200000005</v>
      </c>
      <c r="K15" s="186"/>
      <c r="L15" s="186"/>
      <c r="M15" s="186"/>
      <c r="N15" s="187"/>
    </row>
    <row r="16" spans="1:14" ht="22.5">
      <c r="A16" s="1158"/>
      <c r="B16" s="1158"/>
      <c r="C16" s="1090" t="s">
        <v>40</v>
      </c>
      <c r="D16" s="1091"/>
      <c r="E16" s="1091"/>
      <c r="F16" s="655" t="s">
        <v>112</v>
      </c>
      <c r="G16" s="638" t="s">
        <v>79</v>
      </c>
      <c r="H16" s="658">
        <f>3067-235.5-33.7</f>
        <v>2797.8</v>
      </c>
      <c r="I16" s="658">
        <f>H16*1.006</f>
        <v>2814.5868</v>
      </c>
      <c r="J16" s="658">
        <f>I16*1.006</f>
        <v>2831.4743208</v>
      </c>
      <c r="K16" s="698" t="s">
        <v>283</v>
      </c>
      <c r="L16" s="687">
        <v>72</v>
      </c>
      <c r="M16" s="687">
        <v>72</v>
      </c>
      <c r="N16" s="683">
        <v>72</v>
      </c>
    </row>
    <row r="17" spans="1:14" ht="22.5">
      <c r="A17" s="1158"/>
      <c r="B17" s="1158"/>
      <c r="C17" s="1380"/>
      <c r="D17" s="1164"/>
      <c r="E17" s="1164"/>
      <c r="F17" s="1198" t="s">
        <v>112</v>
      </c>
      <c r="G17" s="1410" t="s">
        <v>80</v>
      </c>
      <c r="H17" s="1413">
        <v>33.700000000000003</v>
      </c>
      <c r="I17" s="1413">
        <f>H17*1.006</f>
        <v>33.902200000000001</v>
      </c>
      <c r="J17" s="1413">
        <f>I17*1.006</f>
        <v>34.105613200000001</v>
      </c>
      <c r="K17" s="253" t="s">
        <v>182</v>
      </c>
      <c r="L17" s="263">
        <v>5</v>
      </c>
      <c r="M17" s="263">
        <v>5</v>
      </c>
      <c r="N17" s="612">
        <v>5</v>
      </c>
    </row>
    <row r="18" spans="1:14" s="185" customFormat="1" ht="22.5">
      <c r="A18" s="1158"/>
      <c r="B18" s="1158"/>
      <c r="C18" s="1380"/>
      <c r="D18" s="1164"/>
      <c r="E18" s="1164"/>
      <c r="F18" s="1111"/>
      <c r="G18" s="1411"/>
      <c r="H18" s="1349"/>
      <c r="I18" s="1349"/>
      <c r="J18" s="1349"/>
      <c r="K18" s="701" t="s">
        <v>284</v>
      </c>
      <c r="L18" s="263">
        <v>100</v>
      </c>
      <c r="M18" s="263">
        <v>100</v>
      </c>
      <c r="N18" s="612">
        <v>100</v>
      </c>
    </row>
    <row r="19" spans="1:14" ht="23.25" thickBot="1">
      <c r="A19" s="1158"/>
      <c r="B19" s="1158"/>
      <c r="C19" s="1146"/>
      <c r="D19" s="1147"/>
      <c r="E19" s="1147"/>
      <c r="F19" s="1150"/>
      <c r="G19" s="1151"/>
      <c r="H19" s="1276"/>
      <c r="I19" s="1276"/>
      <c r="J19" s="1276"/>
      <c r="K19" s="254" t="s">
        <v>163</v>
      </c>
      <c r="L19" s="262">
        <v>0</v>
      </c>
      <c r="M19" s="262">
        <v>0</v>
      </c>
      <c r="N19" s="617">
        <v>0</v>
      </c>
    </row>
    <row r="20" spans="1:14" ht="13.5" thickBot="1">
      <c r="A20" s="1158"/>
      <c r="B20" s="1158"/>
      <c r="C20" s="1799" t="s">
        <v>76</v>
      </c>
      <c r="D20" s="1666"/>
      <c r="E20" s="1666"/>
      <c r="F20" s="1666"/>
      <c r="G20" s="1667"/>
      <c r="H20" s="343">
        <f>SUM(H16:H19)</f>
        <v>2831.5</v>
      </c>
      <c r="I20" s="344">
        <f>SUM(I16:I19)</f>
        <v>2848.489</v>
      </c>
      <c r="J20" s="344">
        <f>SUM(J16:J19)</f>
        <v>2865.5799339999999</v>
      </c>
      <c r="K20" s="79"/>
      <c r="L20" s="227"/>
      <c r="M20" s="227"/>
      <c r="N20" s="228"/>
    </row>
    <row r="21" spans="1:14" ht="45.75" customHeight="1" thickBot="1">
      <c r="A21" s="1158"/>
      <c r="B21" s="1158"/>
      <c r="C21" s="1139" t="s">
        <v>490</v>
      </c>
      <c r="D21" s="1091"/>
      <c r="E21" s="1092"/>
      <c r="F21" s="645" t="s">
        <v>112</v>
      </c>
      <c r="G21" s="650" t="s">
        <v>79</v>
      </c>
      <c r="H21" s="646">
        <v>10</v>
      </c>
      <c r="I21" s="451">
        <f>H21*1.006</f>
        <v>10.06</v>
      </c>
      <c r="J21" s="451">
        <f>I21*1.006</f>
        <v>10.12036</v>
      </c>
      <c r="K21" s="833" t="s">
        <v>26</v>
      </c>
      <c r="L21" s="306">
        <v>100</v>
      </c>
      <c r="M21" s="306">
        <v>110</v>
      </c>
      <c r="N21" s="620">
        <v>120</v>
      </c>
    </row>
    <row r="22" spans="1:14" ht="13.5" thickBot="1">
      <c r="A22" s="1158"/>
      <c r="B22" s="1158"/>
      <c r="C22" s="1259" t="s">
        <v>76</v>
      </c>
      <c r="D22" s="1315"/>
      <c r="E22" s="1315"/>
      <c r="F22" s="1315"/>
      <c r="G22" s="1316"/>
      <c r="H22" s="343">
        <f>SUM(H21:H21)</f>
        <v>10</v>
      </c>
      <c r="I22" s="344">
        <f>SUM(I21:I21)</f>
        <v>10.06</v>
      </c>
      <c r="J22" s="344">
        <f>SUM(J21:J21)</f>
        <v>10.12036</v>
      </c>
      <c r="K22" s="227"/>
      <c r="L22" s="227"/>
      <c r="M22" s="227"/>
      <c r="N22" s="228"/>
    </row>
    <row r="23" spans="1:14" ht="22.5">
      <c r="A23" s="1158"/>
      <c r="B23" s="1158"/>
      <c r="C23" s="1139" t="s">
        <v>61</v>
      </c>
      <c r="D23" s="1091"/>
      <c r="E23" s="1092"/>
      <c r="F23" s="1201" t="s">
        <v>112</v>
      </c>
      <c r="G23" s="1120" t="s">
        <v>79</v>
      </c>
      <c r="H23" s="1348">
        <v>73</v>
      </c>
      <c r="I23" s="1348">
        <f>H23*1.006</f>
        <v>73.438000000000002</v>
      </c>
      <c r="J23" s="1348">
        <f>I23*1.006</f>
        <v>73.878628000000006</v>
      </c>
      <c r="K23" s="255" t="s">
        <v>185</v>
      </c>
      <c r="L23" s="306">
        <v>1</v>
      </c>
      <c r="M23" s="306">
        <v>1</v>
      </c>
      <c r="N23" s="620">
        <v>1</v>
      </c>
    </row>
    <row r="24" spans="1:14" ht="22.5">
      <c r="A24" s="1158"/>
      <c r="B24" s="1158"/>
      <c r="C24" s="1164"/>
      <c r="D24" s="1475"/>
      <c r="E24" s="1165"/>
      <c r="F24" s="1111"/>
      <c r="G24" s="1411"/>
      <c r="H24" s="1349"/>
      <c r="I24" s="1349"/>
      <c r="J24" s="1349"/>
      <c r="K24" s="253" t="s">
        <v>186</v>
      </c>
      <c r="L24" s="263">
        <v>1</v>
      </c>
      <c r="M24" s="263">
        <v>1</v>
      </c>
      <c r="N24" s="612">
        <v>1</v>
      </c>
    </row>
    <row r="25" spans="1:14" ht="22.5">
      <c r="A25" s="1158"/>
      <c r="B25" s="1158"/>
      <c r="C25" s="1164"/>
      <c r="D25" s="1475"/>
      <c r="E25" s="1165"/>
      <c r="F25" s="1111"/>
      <c r="G25" s="1411"/>
      <c r="H25" s="1349"/>
      <c r="I25" s="1349"/>
      <c r="J25" s="1349"/>
      <c r="K25" s="253" t="s">
        <v>187</v>
      </c>
      <c r="L25" s="263">
        <v>1</v>
      </c>
      <c r="M25" s="263">
        <v>1</v>
      </c>
      <c r="N25" s="612">
        <v>1</v>
      </c>
    </row>
    <row r="26" spans="1:14" ht="22.5">
      <c r="A26" s="1158"/>
      <c r="B26" s="1158"/>
      <c r="C26" s="1164"/>
      <c r="D26" s="1475"/>
      <c r="E26" s="1165"/>
      <c r="F26" s="1111"/>
      <c r="G26" s="1411"/>
      <c r="H26" s="1349"/>
      <c r="I26" s="1349"/>
      <c r="J26" s="1349"/>
      <c r="K26" s="253" t="s">
        <v>188</v>
      </c>
      <c r="L26" s="263">
        <v>1</v>
      </c>
      <c r="M26" s="263">
        <v>1</v>
      </c>
      <c r="N26" s="612">
        <v>1</v>
      </c>
    </row>
    <row r="27" spans="1:14" ht="22.5">
      <c r="A27" s="1158"/>
      <c r="B27" s="1158"/>
      <c r="C27" s="1164"/>
      <c r="D27" s="1475"/>
      <c r="E27" s="1165"/>
      <c r="F27" s="1111"/>
      <c r="G27" s="1411"/>
      <c r="H27" s="1349"/>
      <c r="I27" s="1349"/>
      <c r="J27" s="1349"/>
      <c r="K27" s="253" t="s">
        <v>189</v>
      </c>
      <c r="L27" s="263">
        <v>1</v>
      </c>
      <c r="M27" s="263">
        <v>1</v>
      </c>
      <c r="N27" s="612">
        <v>1</v>
      </c>
    </row>
    <row r="28" spans="1:14">
      <c r="A28" s="1158"/>
      <c r="B28" s="1158"/>
      <c r="C28" s="1164"/>
      <c r="D28" s="1475"/>
      <c r="E28" s="1165"/>
      <c r="F28" s="1111"/>
      <c r="G28" s="1411"/>
      <c r="H28" s="1349"/>
      <c r="I28" s="1349"/>
      <c r="J28" s="1349"/>
      <c r="K28" s="253" t="s">
        <v>190</v>
      </c>
      <c r="L28" s="263">
        <v>1</v>
      </c>
      <c r="M28" s="263">
        <v>1</v>
      </c>
      <c r="N28" s="612">
        <v>1</v>
      </c>
    </row>
    <row r="29" spans="1:14" ht="23.25" thickBot="1">
      <c r="A29" s="1158"/>
      <c r="B29" s="1158"/>
      <c r="C29" s="1164"/>
      <c r="D29" s="1475"/>
      <c r="E29" s="1165"/>
      <c r="F29" s="1150"/>
      <c r="G29" s="1151"/>
      <c r="H29" s="1276"/>
      <c r="I29" s="1276"/>
      <c r="J29" s="1276"/>
      <c r="K29" s="679" t="s">
        <v>184</v>
      </c>
      <c r="L29" s="458">
        <v>16</v>
      </c>
      <c r="M29" s="458">
        <v>16</v>
      </c>
      <c r="N29" s="580">
        <v>16</v>
      </c>
    </row>
    <row r="30" spans="1:14" ht="13.5" thickBot="1">
      <c r="A30" s="1158"/>
      <c r="B30" s="1158"/>
      <c r="C30" s="1386" t="s">
        <v>76</v>
      </c>
      <c r="D30" s="1367"/>
      <c r="E30" s="1367"/>
      <c r="F30" s="1367"/>
      <c r="G30" s="1387"/>
      <c r="H30" s="345">
        <f>SUM(H23)</f>
        <v>73</v>
      </c>
      <c r="I30" s="346">
        <f>SUM(I23)</f>
        <v>73.438000000000002</v>
      </c>
      <c r="J30" s="346">
        <f>SUM(J23)</f>
        <v>73.878628000000006</v>
      </c>
      <c r="K30" s="229"/>
      <c r="L30" s="229"/>
      <c r="M30" s="229"/>
      <c r="N30" s="230"/>
    </row>
    <row r="31" spans="1:14" s="185" customFormat="1" ht="39" customHeight="1">
      <c r="A31" s="1158"/>
      <c r="B31" s="1158"/>
      <c r="C31" s="1076" t="s">
        <v>491</v>
      </c>
      <c r="D31" s="1093"/>
      <c r="E31" s="1093"/>
      <c r="F31" s="1201" t="s">
        <v>112</v>
      </c>
      <c r="G31" s="1120" t="s">
        <v>79</v>
      </c>
      <c r="H31" s="1087">
        <v>64.7</v>
      </c>
      <c r="I31" s="1348">
        <v>0</v>
      </c>
      <c r="J31" s="1348">
        <v>0</v>
      </c>
      <c r="K31" s="693" t="s">
        <v>285</v>
      </c>
      <c r="L31" s="687">
        <v>2</v>
      </c>
      <c r="M31" s="687"/>
      <c r="N31" s="834"/>
    </row>
    <row r="32" spans="1:14" s="185" customFormat="1" ht="61.5" customHeight="1">
      <c r="A32" s="1158"/>
      <c r="B32" s="1158"/>
      <c r="C32" s="1612"/>
      <c r="D32" s="1803"/>
      <c r="E32" s="1803"/>
      <c r="F32" s="1797"/>
      <c r="G32" s="1403"/>
      <c r="H32" s="1798"/>
      <c r="I32" s="1481"/>
      <c r="J32" s="1481"/>
      <c r="K32" s="835" t="s">
        <v>286</v>
      </c>
      <c r="L32" s="685">
        <v>25</v>
      </c>
      <c r="M32" s="685"/>
      <c r="N32" s="836"/>
    </row>
    <row r="33" spans="1:14" ht="21" customHeight="1" thickBot="1">
      <c r="A33" s="1158"/>
      <c r="B33" s="1158"/>
      <c r="C33" s="1096"/>
      <c r="D33" s="1097"/>
      <c r="E33" s="1097"/>
      <c r="F33" s="748" t="s">
        <v>112</v>
      </c>
      <c r="G33" s="665" t="s">
        <v>98</v>
      </c>
      <c r="H33" s="968">
        <v>235</v>
      </c>
      <c r="I33" s="987">
        <v>0</v>
      </c>
      <c r="J33" s="987">
        <v>0</v>
      </c>
      <c r="K33" s="1014" t="s">
        <v>524</v>
      </c>
      <c r="L33" s="1014">
        <v>100</v>
      </c>
      <c r="M33" s="1014"/>
      <c r="N33" s="1063"/>
    </row>
    <row r="34" spans="1:14" ht="13.5" thickBot="1">
      <c r="A34" s="1158"/>
      <c r="B34" s="1161"/>
      <c r="C34" s="1262" t="s">
        <v>76</v>
      </c>
      <c r="D34" s="1383"/>
      <c r="E34" s="1383"/>
      <c r="F34" s="1383"/>
      <c r="G34" s="1383"/>
      <c r="H34" s="320">
        <f>SUM(H31:H33)</f>
        <v>299.7</v>
      </c>
      <c r="I34" s="321">
        <f>SUM(I31:I33)</f>
        <v>0</v>
      </c>
      <c r="J34" s="321">
        <f>SUM(J31:J33)</f>
        <v>0</v>
      </c>
      <c r="K34" s="113"/>
      <c r="L34" s="227"/>
      <c r="M34" s="227"/>
      <c r="N34" s="114"/>
    </row>
    <row r="35" spans="1:14" ht="13.5" thickBot="1">
      <c r="A35" s="1161"/>
      <c r="B35" s="1126" t="s">
        <v>77</v>
      </c>
      <c r="C35" s="1367"/>
      <c r="D35" s="1367"/>
      <c r="E35" s="1367"/>
      <c r="F35" s="1367"/>
      <c r="G35" s="1387"/>
      <c r="H35" s="1064">
        <f>H11+H15+H20+H22+H30+H34</f>
        <v>3618.6</v>
      </c>
      <c r="I35" s="1065">
        <f>I11+I15+I20+I22+I30+I34</f>
        <v>3338.8134</v>
      </c>
      <c r="J35" s="1065">
        <f>J11+J15+J20+J22+J30+J34</f>
        <v>3358.8462803999996</v>
      </c>
      <c r="K35" s="188"/>
      <c r="L35" s="95"/>
      <c r="M35" s="95"/>
      <c r="N35" s="120"/>
    </row>
    <row r="36" spans="1:14" s="185" customFormat="1" ht="13.5" thickBot="1">
      <c r="A36" s="1173" t="s">
        <v>203</v>
      </c>
      <c r="B36" s="1339"/>
      <c r="C36" s="1339"/>
      <c r="D36" s="1339"/>
      <c r="E36" s="1339"/>
      <c r="F36" s="1339"/>
      <c r="G36" s="1340"/>
      <c r="H36" s="348">
        <f>H35</f>
        <v>3618.6</v>
      </c>
      <c r="I36" s="357">
        <f>I35</f>
        <v>3338.8134</v>
      </c>
      <c r="J36" s="357">
        <f>J35</f>
        <v>3358.8462803999996</v>
      </c>
      <c r="K36" s="95"/>
      <c r="L36" s="95"/>
      <c r="M36" s="95"/>
      <c r="N36" s="97"/>
    </row>
    <row r="37" spans="1:14" s="185" customFormat="1" ht="11.45" customHeight="1">
      <c r="A37" s="1159" t="s">
        <v>17</v>
      </c>
      <c r="B37" s="1777" t="s">
        <v>844</v>
      </c>
      <c r="C37" s="1139" t="s">
        <v>290</v>
      </c>
      <c r="D37" s="1091"/>
      <c r="E37" s="1092"/>
      <c r="F37" s="1201" t="s">
        <v>112</v>
      </c>
      <c r="G37" s="1120" t="s">
        <v>92</v>
      </c>
      <c r="H37" s="1348">
        <v>29.2</v>
      </c>
      <c r="I37" s="1348">
        <f>H37*1.006</f>
        <v>29.3752</v>
      </c>
      <c r="J37" s="1348">
        <f>I37*1.006</f>
        <v>29.551451199999999</v>
      </c>
      <c r="K37" s="828" t="s">
        <v>212</v>
      </c>
      <c r="L37" s="269">
        <v>448</v>
      </c>
      <c r="M37" s="269">
        <v>450</v>
      </c>
      <c r="N37" s="275">
        <v>450</v>
      </c>
    </row>
    <row r="38" spans="1:14" s="185" customFormat="1" ht="11.45" customHeight="1">
      <c r="A38" s="1158"/>
      <c r="B38" s="1778"/>
      <c r="C38" s="1164"/>
      <c r="D38" s="1475"/>
      <c r="E38" s="1165"/>
      <c r="F38" s="1111"/>
      <c r="G38" s="1411"/>
      <c r="H38" s="1349"/>
      <c r="I38" s="1349"/>
      <c r="J38" s="1349"/>
      <c r="K38" s="837" t="s">
        <v>213</v>
      </c>
      <c r="L38" s="270">
        <v>603</v>
      </c>
      <c r="M38" s="270">
        <v>603</v>
      </c>
      <c r="N38" s="271">
        <v>603</v>
      </c>
    </row>
    <row r="39" spans="1:14" s="185" customFormat="1" ht="11.45" customHeight="1">
      <c r="A39" s="1158"/>
      <c r="B39" s="1778"/>
      <c r="C39" s="1164"/>
      <c r="D39" s="1475"/>
      <c r="E39" s="1165"/>
      <c r="F39" s="1111"/>
      <c r="G39" s="1411"/>
      <c r="H39" s="1349"/>
      <c r="I39" s="1349"/>
      <c r="J39" s="1349"/>
      <c r="K39" s="837" t="s">
        <v>214</v>
      </c>
      <c r="L39" s="270">
        <v>264</v>
      </c>
      <c r="M39" s="270">
        <v>264</v>
      </c>
      <c r="N39" s="271">
        <v>264</v>
      </c>
    </row>
    <row r="40" spans="1:14" s="185" customFormat="1" ht="11.45" customHeight="1">
      <c r="A40" s="1158"/>
      <c r="B40" s="1778"/>
      <c r="C40" s="1164"/>
      <c r="D40" s="1475"/>
      <c r="E40" s="1165"/>
      <c r="F40" s="1111"/>
      <c r="G40" s="1411"/>
      <c r="H40" s="1349"/>
      <c r="I40" s="1349"/>
      <c r="J40" s="1349"/>
      <c r="K40" s="837" t="s">
        <v>215</v>
      </c>
      <c r="L40" s="270">
        <v>134</v>
      </c>
      <c r="M40" s="270">
        <v>134</v>
      </c>
      <c r="N40" s="271">
        <v>134</v>
      </c>
    </row>
    <row r="41" spans="1:14" s="185" customFormat="1" ht="24" customHeight="1" thickBot="1">
      <c r="A41" s="1158"/>
      <c r="B41" s="1778"/>
      <c r="C41" s="1164"/>
      <c r="D41" s="1475"/>
      <c r="E41" s="1165"/>
      <c r="F41" s="1150"/>
      <c r="G41" s="1151"/>
      <c r="H41" s="1276"/>
      <c r="I41" s="1276"/>
      <c r="J41" s="1276"/>
      <c r="K41" s="701" t="s">
        <v>216</v>
      </c>
      <c r="L41" s="270">
        <v>169</v>
      </c>
      <c r="M41" s="270">
        <v>169</v>
      </c>
      <c r="N41" s="271">
        <v>169</v>
      </c>
    </row>
    <row r="42" spans="1:14" ht="13.5" thickBot="1">
      <c r="A42" s="1158"/>
      <c r="B42" s="1778"/>
      <c r="C42" s="1259" t="s">
        <v>76</v>
      </c>
      <c r="D42" s="1315"/>
      <c r="E42" s="1315"/>
      <c r="F42" s="1315"/>
      <c r="G42" s="1316"/>
      <c r="H42" s="343">
        <f>SUM(H37)</f>
        <v>29.2</v>
      </c>
      <c r="I42" s="344">
        <f>SUM(I37)</f>
        <v>29.3752</v>
      </c>
      <c r="J42" s="344">
        <f>SUM(J37)</f>
        <v>29.551451199999999</v>
      </c>
      <c r="K42" s="103"/>
      <c r="L42" s="103"/>
      <c r="M42" s="103"/>
      <c r="N42" s="98"/>
    </row>
    <row r="43" spans="1:14" ht="24" customHeight="1" thickBot="1">
      <c r="A43" s="1158"/>
      <c r="B43" s="1778"/>
      <c r="C43" s="1139" t="s">
        <v>480</v>
      </c>
      <c r="D43" s="1091"/>
      <c r="E43" s="1092"/>
      <c r="F43" s="662" t="s">
        <v>112</v>
      </c>
      <c r="G43" s="657" t="s">
        <v>92</v>
      </c>
      <c r="H43" s="682">
        <v>5.2</v>
      </c>
      <c r="I43" s="682">
        <f>H43*1.006</f>
        <v>5.2312000000000003</v>
      </c>
      <c r="J43" s="682">
        <f>I43*1.006</f>
        <v>5.2625872000000005</v>
      </c>
      <c r="K43" s="255" t="s">
        <v>597</v>
      </c>
      <c r="L43" s="270">
        <v>850</v>
      </c>
      <c r="M43" s="270">
        <v>870</v>
      </c>
      <c r="N43" s="271">
        <v>890</v>
      </c>
    </row>
    <row r="44" spans="1:14" ht="13.5" thickBot="1">
      <c r="A44" s="1158"/>
      <c r="B44" s="1778"/>
      <c r="C44" s="1100" t="s">
        <v>76</v>
      </c>
      <c r="D44" s="1315"/>
      <c r="E44" s="1315"/>
      <c r="F44" s="1315"/>
      <c r="G44" s="1316"/>
      <c r="H44" s="343">
        <f>SUM(H43)</f>
        <v>5.2</v>
      </c>
      <c r="I44" s="344">
        <f>SUM(I43)</f>
        <v>5.2312000000000003</v>
      </c>
      <c r="J44" s="344">
        <f>SUM(J43)</f>
        <v>5.2625872000000005</v>
      </c>
      <c r="K44" s="227"/>
      <c r="L44" s="227"/>
      <c r="M44" s="227"/>
      <c r="N44" s="228"/>
    </row>
    <row r="45" spans="1:14" ht="22.15" customHeight="1" thickBot="1">
      <c r="A45" s="1158"/>
      <c r="B45" s="1778"/>
      <c r="C45" s="1139" t="s">
        <v>481</v>
      </c>
      <c r="D45" s="1091"/>
      <c r="E45" s="1092"/>
      <c r="F45" s="662" t="s">
        <v>112</v>
      </c>
      <c r="G45" s="657" t="s">
        <v>92</v>
      </c>
      <c r="H45" s="682">
        <v>0.6</v>
      </c>
      <c r="I45" s="682">
        <f>H45*1.006</f>
        <v>0.60360000000000003</v>
      </c>
      <c r="J45" s="682">
        <f>I45*1.006</f>
        <v>0.60722160000000003</v>
      </c>
      <c r="K45" s="685" t="s">
        <v>289</v>
      </c>
      <c r="L45" s="685">
        <v>10</v>
      </c>
      <c r="M45" s="685">
        <v>10</v>
      </c>
      <c r="N45" s="686">
        <v>10</v>
      </c>
    </row>
    <row r="46" spans="1:14" s="185" customFormat="1" ht="13.5" thickBot="1">
      <c r="A46" s="1158"/>
      <c r="B46" s="1778"/>
      <c r="C46" s="1259" t="s">
        <v>76</v>
      </c>
      <c r="D46" s="1315"/>
      <c r="E46" s="1315"/>
      <c r="F46" s="1315"/>
      <c r="G46" s="1316"/>
      <c r="H46" s="343">
        <f>SUM(H45)</f>
        <v>0.6</v>
      </c>
      <c r="I46" s="344">
        <f>SUM(I45)</f>
        <v>0.60360000000000003</v>
      </c>
      <c r="J46" s="344">
        <f>SUM(J45)</f>
        <v>0.60722160000000003</v>
      </c>
      <c r="K46" s="227"/>
      <c r="L46" s="227"/>
      <c r="M46" s="227"/>
      <c r="N46" s="228"/>
    </row>
    <row r="47" spans="1:14" ht="23.45" customHeight="1">
      <c r="A47" s="1158"/>
      <c r="B47" s="1778"/>
      <c r="C47" s="1139" t="s">
        <v>482</v>
      </c>
      <c r="D47" s="1091"/>
      <c r="E47" s="1092"/>
      <c r="F47" s="1381" t="s">
        <v>112</v>
      </c>
      <c r="G47" s="1120" t="s">
        <v>92</v>
      </c>
      <c r="H47" s="1348">
        <v>8.1</v>
      </c>
      <c r="I47" s="1348">
        <f>H47*1.006</f>
        <v>8.1486000000000001</v>
      </c>
      <c r="J47" s="1348">
        <f>I47*1.006</f>
        <v>8.1974915999999993</v>
      </c>
      <c r="K47" s="255" t="s">
        <v>598</v>
      </c>
      <c r="L47" s="250">
        <v>206</v>
      </c>
      <c r="M47" s="250">
        <v>210</v>
      </c>
      <c r="N47" s="838">
        <v>210</v>
      </c>
    </row>
    <row r="48" spans="1:14">
      <c r="A48" s="1158"/>
      <c r="B48" s="1778"/>
      <c r="C48" s="1164"/>
      <c r="D48" s="1475"/>
      <c r="E48" s="1165"/>
      <c r="F48" s="1111"/>
      <c r="G48" s="1411"/>
      <c r="H48" s="1349"/>
      <c r="I48" s="1349"/>
      <c r="J48" s="1349"/>
      <c r="K48" s="263" t="s">
        <v>211</v>
      </c>
      <c r="L48" s="253">
        <v>8</v>
      </c>
      <c r="M48" s="253">
        <v>8</v>
      </c>
      <c r="N48" s="839">
        <v>8</v>
      </c>
    </row>
    <row r="49" spans="1:14" ht="13.5" thickBot="1">
      <c r="A49" s="1158"/>
      <c r="B49" s="1778"/>
      <c r="C49" s="1164"/>
      <c r="D49" s="1475"/>
      <c r="E49" s="1165"/>
      <c r="F49" s="1111"/>
      <c r="G49" s="1151"/>
      <c r="H49" s="1276"/>
      <c r="I49" s="1276"/>
      <c r="J49" s="1276"/>
      <c r="K49" s="458" t="s">
        <v>217</v>
      </c>
      <c r="L49" s="254">
        <v>20</v>
      </c>
      <c r="M49" s="254">
        <v>20</v>
      </c>
      <c r="N49" s="840">
        <v>20</v>
      </c>
    </row>
    <row r="50" spans="1:14" ht="13.5" thickBot="1">
      <c r="A50" s="1158"/>
      <c r="B50" s="1778"/>
      <c r="C50" s="1259" t="s">
        <v>76</v>
      </c>
      <c r="D50" s="1315"/>
      <c r="E50" s="1315"/>
      <c r="F50" s="1315"/>
      <c r="G50" s="1316"/>
      <c r="H50" s="343">
        <f>SUM(H47)</f>
        <v>8.1</v>
      </c>
      <c r="I50" s="344">
        <f>SUM(I47)</f>
        <v>8.1486000000000001</v>
      </c>
      <c r="J50" s="344">
        <f>SUM(J47)</f>
        <v>8.1974915999999993</v>
      </c>
      <c r="K50" s="227"/>
      <c r="L50" s="227"/>
      <c r="M50" s="227"/>
      <c r="N50" s="228"/>
    </row>
    <row r="51" spans="1:14" s="185" customFormat="1" ht="15" customHeight="1">
      <c r="A51" s="1158"/>
      <c r="B51" s="1778"/>
      <c r="C51" s="1139" t="s">
        <v>483</v>
      </c>
      <c r="D51" s="1091"/>
      <c r="E51" s="1092"/>
      <c r="F51" s="1199" t="s">
        <v>112</v>
      </c>
      <c r="G51" s="1120" t="s">
        <v>92</v>
      </c>
      <c r="H51" s="1348">
        <v>18.2</v>
      </c>
      <c r="I51" s="1348">
        <f>H51*1.006</f>
        <v>18.309200000000001</v>
      </c>
      <c r="J51" s="1789">
        <f>I51*1.006</f>
        <v>18.419055199999999</v>
      </c>
      <c r="K51" s="255" t="s">
        <v>193</v>
      </c>
      <c r="L51" s="255">
        <v>1188</v>
      </c>
      <c r="M51" s="255">
        <v>1250</v>
      </c>
      <c r="N51" s="841">
        <v>1300</v>
      </c>
    </row>
    <row r="52" spans="1:14" s="185" customFormat="1" ht="22.5">
      <c r="A52" s="1158"/>
      <c r="B52" s="1778"/>
      <c r="C52" s="1164"/>
      <c r="D52" s="1475"/>
      <c r="E52" s="1165"/>
      <c r="F52" s="1099"/>
      <c r="G52" s="1411"/>
      <c r="H52" s="1349"/>
      <c r="I52" s="1349"/>
      <c r="J52" s="1790"/>
      <c r="K52" s="253" t="s">
        <v>599</v>
      </c>
      <c r="L52" s="253">
        <v>1035</v>
      </c>
      <c r="M52" s="253">
        <v>1050</v>
      </c>
      <c r="N52" s="839">
        <v>1070</v>
      </c>
    </row>
    <row r="53" spans="1:14" s="185" customFormat="1" ht="23.25" thickBot="1">
      <c r="A53" s="1158"/>
      <c r="B53" s="1778"/>
      <c r="C53" s="1164"/>
      <c r="D53" s="1475"/>
      <c r="E53" s="1165"/>
      <c r="F53" s="1782"/>
      <c r="G53" s="1151"/>
      <c r="H53" s="1276"/>
      <c r="I53" s="1276"/>
      <c r="J53" s="1791"/>
      <c r="K53" s="679" t="s">
        <v>192</v>
      </c>
      <c r="L53" s="679">
        <v>863</v>
      </c>
      <c r="M53" s="679">
        <v>885</v>
      </c>
      <c r="N53" s="681">
        <v>900</v>
      </c>
    </row>
    <row r="54" spans="1:14" ht="13.5" thickBot="1">
      <c r="A54" s="1158"/>
      <c r="B54" s="1778"/>
      <c r="C54" s="1100" t="s">
        <v>76</v>
      </c>
      <c r="D54" s="1382"/>
      <c r="E54" s="1382"/>
      <c r="F54" s="1382"/>
      <c r="G54" s="1450"/>
      <c r="H54" s="343">
        <f>SUM(H51)</f>
        <v>18.2</v>
      </c>
      <c r="I54" s="344">
        <f>SUM(I51)</f>
        <v>18.309200000000001</v>
      </c>
      <c r="J54" s="344">
        <f>SUM(J51)</f>
        <v>18.419055199999999</v>
      </c>
      <c r="K54" s="227"/>
      <c r="L54" s="227"/>
      <c r="M54" s="227"/>
      <c r="N54" s="228"/>
    </row>
    <row r="55" spans="1:14" ht="28.5" customHeight="1" thickBot="1">
      <c r="A55" s="1158"/>
      <c r="B55" s="1778"/>
      <c r="C55" s="1527" t="s">
        <v>484</v>
      </c>
      <c r="D55" s="1331"/>
      <c r="E55" s="1332"/>
      <c r="F55" s="842" t="s">
        <v>112</v>
      </c>
      <c r="G55" s="258" t="s">
        <v>92</v>
      </c>
      <c r="H55" s="369">
        <v>0.7</v>
      </c>
      <c r="I55" s="369">
        <f>H55*1.006</f>
        <v>0.70419999999999994</v>
      </c>
      <c r="J55" s="369">
        <f>I55*1.006</f>
        <v>0.70842519999999998</v>
      </c>
      <c r="K55" s="843" t="s">
        <v>601</v>
      </c>
      <c r="L55" s="507">
        <v>41819</v>
      </c>
      <c r="M55" s="507">
        <v>41700</v>
      </c>
      <c r="N55" s="508">
        <v>41600</v>
      </c>
    </row>
    <row r="56" spans="1:14" ht="13.5" thickBot="1">
      <c r="A56" s="1158"/>
      <c r="B56" s="1778"/>
      <c r="C56" s="1100" t="s">
        <v>76</v>
      </c>
      <c r="D56" s="1315"/>
      <c r="E56" s="1315"/>
      <c r="F56" s="1315"/>
      <c r="G56" s="1316"/>
      <c r="H56" s="343">
        <f>SUM(H55)</f>
        <v>0.7</v>
      </c>
      <c r="I56" s="344">
        <f>SUM(I55)</f>
        <v>0.70419999999999994</v>
      </c>
      <c r="J56" s="344">
        <f>SUM(J55)</f>
        <v>0.70842519999999998</v>
      </c>
      <c r="K56" s="113"/>
      <c r="L56" s="227"/>
      <c r="M56" s="227"/>
      <c r="N56" s="228"/>
    </row>
    <row r="57" spans="1:14" ht="33" customHeight="1" thickBot="1">
      <c r="A57" s="1158"/>
      <c r="B57" s="1778"/>
      <c r="C57" s="1139" t="s">
        <v>485</v>
      </c>
      <c r="D57" s="1091"/>
      <c r="E57" s="1092"/>
      <c r="F57" s="662" t="s">
        <v>112</v>
      </c>
      <c r="G57" s="657" t="s">
        <v>92</v>
      </c>
      <c r="H57" s="682">
        <v>7.2</v>
      </c>
      <c r="I57" s="682">
        <f>H57*1.006</f>
        <v>7.2431999999999999</v>
      </c>
      <c r="J57" s="682">
        <f>I57*1.006</f>
        <v>7.2866591999999999</v>
      </c>
      <c r="K57" s="844" t="s">
        <v>602</v>
      </c>
      <c r="L57" s="685">
        <v>1366</v>
      </c>
      <c r="M57" s="685">
        <v>1375</v>
      </c>
      <c r="N57" s="685">
        <v>1387</v>
      </c>
    </row>
    <row r="58" spans="1:14" ht="13.5" thickBot="1">
      <c r="A58" s="1158"/>
      <c r="B58" s="1778"/>
      <c r="C58" s="1259" t="s">
        <v>76</v>
      </c>
      <c r="D58" s="1315"/>
      <c r="E58" s="1315"/>
      <c r="F58" s="1315"/>
      <c r="G58" s="1316"/>
      <c r="H58" s="343">
        <f>SUM(H57)</f>
        <v>7.2</v>
      </c>
      <c r="I58" s="344">
        <f>SUM(I57)</f>
        <v>7.2431999999999999</v>
      </c>
      <c r="J58" s="344">
        <f>SUM(J57)</f>
        <v>7.2866591999999999</v>
      </c>
      <c r="K58" s="113"/>
      <c r="L58" s="227"/>
      <c r="M58" s="227"/>
      <c r="N58" s="114"/>
    </row>
    <row r="59" spans="1:14" ht="16.5" customHeight="1">
      <c r="A59" s="1158"/>
      <c r="B59" s="1778"/>
      <c r="C59" s="1804" t="s">
        <v>486</v>
      </c>
      <c r="D59" s="1447"/>
      <c r="E59" s="1447"/>
      <c r="F59" s="1199" t="s">
        <v>112</v>
      </c>
      <c r="G59" s="1122" t="s">
        <v>92</v>
      </c>
      <c r="H59" s="1523">
        <v>19.100000000000001</v>
      </c>
      <c r="I59" s="1523">
        <f>H59*1.006</f>
        <v>19.214600000000001</v>
      </c>
      <c r="J59" s="1523">
        <f>I59*1.006</f>
        <v>19.329887599999999</v>
      </c>
      <c r="K59" s="845" t="s">
        <v>218</v>
      </c>
      <c r="L59" s="306">
        <v>1</v>
      </c>
      <c r="M59" s="306">
        <v>1</v>
      </c>
      <c r="N59" s="620">
        <v>1</v>
      </c>
    </row>
    <row r="60" spans="1:14" ht="24" customHeight="1" thickBot="1">
      <c r="A60" s="1158"/>
      <c r="B60" s="1778"/>
      <c r="C60" s="1805"/>
      <c r="D60" s="1623"/>
      <c r="E60" s="1623"/>
      <c r="F60" s="1782"/>
      <c r="G60" s="1271"/>
      <c r="H60" s="1401"/>
      <c r="I60" s="1401"/>
      <c r="J60" s="1401"/>
      <c r="K60" s="846" t="s">
        <v>603</v>
      </c>
      <c r="L60" s="458">
        <v>30</v>
      </c>
      <c r="M60" s="458">
        <v>30</v>
      </c>
      <c r="N60" s="580">
        <v>30</v>
      </c>
    </row>
    <row r="61" spans="1:14" ht="13.5" thickBot="1">
      <c r="A61" s="1158"/>
      <c r="B61" s="1778"/>
      <c r="C61" s="1259" t="s">
        <v>76</v>
      </c>
      <c r="D61" s="1315"/>
      <c r="E61" s="1315"/>
      <c r="F61" s="1315"/>
      <c r="G61" s="1316"/>
      <c r="H61" s="343">
        <f>SUM(H59)</f>
        <v>19.100000000000001</v>
      </c>
      <c r="I61" s="344">
        <f>SUM(I59)</f>
        <v>19.214600000000001</v>
      </c>
      <c r="J61" s="344">
        <f>SUM(J59)</f>
        <v>19.329887599999999</v>
      </c>
      <c r="K61" s="115"/>
      <c r="L61" s="227"/>
      <c r="M61" s="227"/>
      <c r="N61" s="228"/>
    </row>
    <row r="62" spans="1:14" ht="23.25" thickBot="1">
      <c r="A62" s="1158"/>
      <c r="B62" s="1778"/>
      <c r="C62" s="1781" t="s">
        <v>487</v>
      </c>
      <c r="D62" s="1219"/>
      <c r="E62" s="1220"/>
      <c r="F62" s="847" t="s">
        <v>112</v>
      </c>
      <c r="G62" s="657" t="s">
        <v>92</v>
      </c>
      <c r="H62" s="682">
        <v>101.7</v>
      </c>
      <c r="I62" s="682">
        <f>H62*1.006</f>
        <v>102.31020000000001</v>
      </c>
      <c r="J62" s="682">
        <f>I62*1.006</f>
        <v>102.92406120000001</v>
      </c>
      <c r="K62" s="844" t="s">
        <v>600</v>
      </c>
      <c r="L62" s="685">
        <v>1980</v>
      </c>
      <c r="M62" s="685">
        <v>1990</v>
      </c>
      <c r="N62" s="686">
        <v>1910</v>
      </c>
    </row>
    <row r="63" spans="1:14" ht="13.5" thickBot="1">
      <c r="A63" s="1158"/>
      <c r="B63" s="1778"/>
      <c r="C63" s="1100" t="s">
        <v>76</v>
      </c>
      <c r="D63" s="1315"/>
      <c r="E63" s="1315"/>
      <c r="F63" s="1315"/>
      <c r="G63" s="1316"/>
      <c r="H63" s="343">
        <f>SUM(H62)</f>
        <v>101.7</v>
      </c>
      <c r="I63" s="344">
        <f>SUM(I62)</f>
        <v>102.31020000000001</v>
      </c>
      <c r="J63" s="344">
        <f>SUM(J62)</f>
        <v>102.92406120000001</v>
      </c>
      <c r="K63" s="227"/>
      <c r="L63" s="227"/>
      <c r="M63" s="227"/>
      <c r="N63" s="228"/>
    </row>
    <row r="64" spans="1:14" s="185" customFormat="1" ht="11.25" customHeight="1">
      <c r="A64" s="1158"/>
      <c r="B64" s="1778"/>
      <c r="C64" s="1804" t="s">
        <v>488</v>
      </c>
      <c r="D64" s="1447"/>
      <c r="E64" s="1447"/>
      <c r="F64" s="1199" t="s">
        <v>112</v>
      </c>
      <c r="G64" s="1122" t="s">
        <v>92</v>
      </c>
      <c r="H64" s="1523">
        <v>4.8</v>
      </c>
      <c r="I64" s="1523">
        <f>H64*1.006</f>
        <v>4.8288000000000002</v>
      </c>
      <c r="J64" s="1523">
        <f>I64*1.006</f>
        <v>4.8577728000000002</v>
      </c>
      <c r="K64" s="1446" t="s">
        <v>219</v>
      </c>
      <c r="L64" s="1812">
        <v>383</v>
      </c>
      <c r="M64" s="1812">
        <v>400</v>
      </c>
      <c r="N64" s="1814">
        <v>420</v>
      </c>
    </row>
    <row r="65" spans="1:14">
      <c r="A65" s="1158"/>
      <c r="B65" s="1778"/>
      <c r="C65" s="1801"/>
      <c r="D65" s="1095"/>
      <c r="E65" s="1095"/>
      <c r="F65" s="1086"/>
      <c r="G65" s="1086"/>
      <c r="H65" s="1086"/>
      <c r="I65" s="1086"/>
      <c r="J65" s="1086"/>
      <c r="K65" s="1625"/>
      <c r="L65" s="1813"/>
      <c r="M65" s="1813"/>
      <c r="N65" s="1815"/>
    </row>
    <row r="66" spans="1:14" ht="23.25" thickBot="1">
      <c r="A66" s="1158"/>
      <c r="B66" s="1778"/>
      <c r="C66" s="1805"/>
      <c r="D66" s="1623"/>
      <c r="E66" s="1623"/>
      <c r="F66" s="1401"/>
      <c r="G66" s="1401"/>
      <c r="H66" s="1401"/>
      <c r="I66" s="1401"/>
      <c r="J66" s="1401"/>
      <c r="K66" s="689" t="s">
        <v>220</v>
      </c>
      <c r="L66" s="848">
        <v>220</v>
      </c>
      <c r="M66" s="848">
        <v>230</v>
      </c>
      <c r="N66" s="849">
        <v>240</v>
      </c>
    </row>
    <row r="67" spans="1:14" ht="13.5" thickBot="1">
      <c r="A67" s="1158"/>
      <c r="B67" s="1778"/>
      <c r="C67" s="1259" t="s">
        <v>76</v>
      </c>
      <c r="D67" s="1315"/>
      <c r="E67" s="1315"/>
      <c r="F67" s="1315"/>
      <c r="G67" s="1316"/>
      <c r="H67" s="343">
        <f>H64</f>
        <v>4.8</v>
      </c>
      <c r="I67" s="343">
        <f>I64</f>
        <v>4.8288000000000002</v>
      </c>
      <c r="J67" s="343">
        <f>J64</f>
        <v>4.8577728000000002</v>
      </c>
      <c r="K67" s="39"/>
      <c r="L67" s="121"/>
      <c r="M67" s="121"/>
      <c r="N67" s="122"/>
    </row>
    <row r="68" spans="1:14" ht="33.75" customHeight="1" thickBot="1">
      <c r="A68" s="1158"/>
      <c r="B68" s="1778"/>
      <c r="C68" s="1527" t="s">
        <v>489</v>
      </c>
      <c r="D68" s="1331"/>
      <c r="E68" s="1332"/>
      <c r="F68" s="847" t="s">
        <v>112</v>
      </c>
      <c r="G68" s="657" t="s">
        <v>92</v>
      </c>
      <c r="H68" s="682">
        <v>13</v>
      </c>
      <c r="I68" s="682">
        <f>H68*1.006</f>
        <v>13.077999999999999</v>
      </c>
      <c r="J68" s="682">
        <f>I68*1.006</f>
        <v>13.156468</v>
      </c>
      <c r="K68" s="844" t="s">
        <v>183</v>
      </c>
      <c r="L68" s="685">
        <v>40</v>
      </c>
      <c r="M68" s="685">
        <v>40</v>
      </c>
      <c r="N68" s="850">
        <v>40</v>
      </c>
    </row>
    <row r="69" spans="1:14" ht="13.5" thickBot="1">
      <c r="A69" s="1158"/>
      <c r="B69" s="1778"/>
      <c r="C69" s="1100" t="s">
        <v>76</v>
      </c>
      <c r="D69" s="1315"/>
      <c r="E69" s="1315"/>
      <c r="F69" s="1315"/>
      <c r="G69" s="1316"/>
      <c r="H69" s="343">
        <f>SUM(H68)</f>
        <v>13</v>
      </c>
      <c r="I69" s="344">
        <f>SUM(I68)</f>
        <v>13.077999999999999</v>
      </c>
      <c r="J69" s="344">
        <f>SUM(J68)</f>
        <v>13.156468</v>
      </c>
      <c r="K69" s="113"/>
      <c r="L69" s="227"/>
      <c r="M69" s="227"/>
      <c r="N69" s="114"/>
    </row>
    <row r="70" spans="1:14" ht="25.5" customHeight="1" thickBot="1">
      <c r="A70" s="1158"/>
      <c r="B70" s="1778"/>
      <c r="C70" s="1141" t="s">
        <v>628</v>
      </c>
      <c r="D70" s="1164"/>
      <c r="E70" s="1165"/>
      <c r="F70" s="662" t="s">
        <v>112</v>
      </c>
      <c r="G70" s="657" t="s">
        <v>92</v>
      </c>
      <c r="H70" s="682">
        <v>10.199999999999999</v>
      </c>
      <c r="I70" s="682">
        <f>H70*1.006</f>
        <v>10.261199999999999</v>
      </c>
      <c r="J70" s="682">
        <f>I70*1.006</f>
        <v>10.322767199999999</v>
      </c>
      <c r="K70" s="851" t="s">
        <v>196</v>
      </c>
      <c r="L70" s="685">
        <v>6816</v>
      </c>
      <c r="M70" s="685">
        <v>6850</v>
      </c>
      <c r="N70" s="686">
        <v>6850</v>
      </c>
    </row>
    <row r="71" spans="1:14" ht="13.5" thickBot="1">
      <c r="A71" s="1158"/>
      <c r="B71" s="1778"/>
      <c r="C71" s="1100" t="s">
        <v>76</v>
      </c>
      <c r="D71" s="1315"/>
      <c r="E71" s="1315"/>
      <c r="F71" s="1315"/>
      <c r="G71" s="1316"/>
      <c r="H71" s="343">
        <f>SUM(H70)</f>
        <v>10.199999999999999</v>
      </c>
      <c r="I71" s="344">
        <f>SUM(I70)</f>
        <v>10.261199999999999</v>
      </c>
      <c r="J71" s="344">
        <f>SUM(J70)</f>
        <v>10.322767199999999</v>
      </c>
      <c r="K71" s="113"/>
      <c r="L71" s="227"/>
      <c r="M71" s="227"/>
      <c r="N71" s="114"/>
    </row>
    <row r="72" spans="1:14" ht="18.75" customHeight="1" thickBot="1">
      <c r="A72" s="1158"/>
      <c r="B72" s="1778"/>
      <c r="C72" s="1090" t="s">
        <v>629</v>
      </c>
      <c r="D72" s="1091"/>
      <c r="E72" s="1092"/>
      <c r="F72" s="662" t="s">
        <v>112</v>
      </c>
      <c r="G72" s="657" t="s">
        <v>92</v>
      </c>
      <c r="H72" s="682">
        <v>9.1</v>
      </c>
      <c r="I72" s="682">
        <f>H72*1.006</f>
        <v>9.1546000000000003</v>
      </c>
      <c r="J72" s="682">
        <f>I72*1.006</f>
        <v>9.2095275999999995</v>
      </c>
      <c r="K72" s="852" t="s">
        <v>604</v>
      </c>
      <c r="L72" s="458">
        <v>1</v>
      </c>
      <c r="M72" s="458">
        <v>1</v>
      </c>
      <c r="N72" s="853">
        <v>1</v>
      </c>
    </row>
    <row r="73" spans="1:14" s="185" customFormat="1" ht="13.5" thickBot="1">
      <c r="A73" s="1158"/>
      <c r="B73" s="1778"/>
      <c r="C73" s="1100" t="s">
        <v>76</v>
      </c>
      <c r="D73" s="1315"/>
      <c r="E73" s="1315"/>
      <c r="F73" s="1315"/>
      <c r="G73" s="1316"/>
      <c r="H73" s="343">
        <f>SUM(H72)</f>
        <v>9.1</v>
      </c>
      <c r="I73" s="344">
        <f>SUM(I72)</f>
        <v>9.1546000000000003</v>
      </c>
      <c r="J73" s="344">
        <f>SUM(J72)</f>
        <v>9.2095275999999995</v>
      </c>
      <c r="K73" s="117"/>
      <c r="L73" s="227"/>
      <c r="M73" s="227"/>
      <c r="N73" s="114"/>
    </row>
    <row r="74" spans="1:14" ht="25.5" customHeight="1" thickBot="1">
      <c r="A74" s="1158"/>
      <c r="B74" s="1778"/>
      <c r="C74" s="1090" t="s">
        <v>630</v>
      </c>
      <c r="D74" s="1091"/>
      <c r="E74" s="1092"/>
      <c r="F74" s="662" t="s">
        <v>112</v>
      </c>
      <c r="G74" s="657" t="s">
        <v>92</v>
      </c>
      <c r="H74" s="682">
        <v>3.6</v>
      </c>
      <c r="I74" s="682">
        <f>H74*1.006</f>
        <v>3.6215999999999999</v>
      </c>
      <c r="J74" s="682">
        <f>I74*1.006</f>
        <v>3.6433295999999999</v>
      </c>
      <c r="K74" s="684" t="s">
        <v>291</v>
      </c>
      <c r="L74" s="685">
        <v>80</v>
      </c>
      <c r="M74" s="685">
        <v>85</v>
      </c>
      <c r="N74" s="686">
        <v>90</v>
      </c>
    </row>
    <row r="75" spans="1:14" ht="13.5" thickBot="1">
      <c r="A75" s="1158"/>
      <c r="B75" s="1778"/>
      <c r="C75" s="1100" t="s">
        <v>76</v>
      </c>
      <c r="D75" s="1315"/>
      <c r="E75" s="1315"/>
      <c r="F75" s="1315"/>
      <c r="G75" s="1316"/>
      <c r="H75" s="343">
        <f>SUM(H74)</f>
        <v>3.6</v>
      </c>
      <c r="I75" s="344">
        <f>SUM(I74)</f>
        <v>3.6215999999999999</v>
      </c>
      <c r="J75" s="344">
        <f>SUM(J74)</f>
        <v>3.6433295999999999</v>
      </c>
      <c r="K75" s="227"/>
      <c r="L75" s="227"/>
      <c r="M75" s="227"/>
      <c r="N75" s="228"/>
    </row>
    <row r="76" spans="1:14" s="185" customFormat="1" ht="24" customHeight="1" thickBot="1">
      <c r="A76" s="1158"/>
      <c r="B76" s="1778"/>
      <c r="C76" s="1090" t="s">
        <v>631</v>
      </c>
      <c r="D76" s="1091"/>
      <c r="E76" s="1092"/>
      <c r="F76" s="662" t="s">
        <v>112</v>
      </c>
      <c r="G76" s="657" t="s">
        <v>92</v>
      </c>
      <c r="H76" s="682">
        <v>8.4</v>
      </c>
      <c r="I76" s="682">
        <f>H76*1.006</f>
        <v>8.4504000000000001</v>
      </c>
      <c r="J76" s="682">
        <f>I76*1.006</f>
        <v>8.5011024000000006</v>
      </c>
      <c r="K76" s="685" t="s">
        <v>606</v>
      </c>
      <c r="L76" s="685">
        <v>49</v>
      </c>
      <c r="M76" s="685">
        <v>52</v>
      </c>
      <c r="N76" s="686">
        <v>54</v>
      </c>
    </row>
    <row r="77" spans="1:14" ht="13.5" thickBot="1">
      <c r="A77" s="1158"/>
      <c r="B77" s="1778"/>
      <c r="C77" s="1126" t="s">
        <v>76</v>
      </c>
      <c r="D77" s="1367"/>
      <c r="E77" s="1367"/>
      <c r="F77" s="1367"/>
      <c r="G77" s="1387"/>
      <c r="H77" s="345">
        <f>SUM(H76)</f>
        <v>8.4</v>
      </c>
      <c r="I77" s="346">
        <f>SUM(I76)</f>
        <v>8.4504000000000001</v>
      </c>
      <c r="J77" s="346">
        <f>SUM(J76)</f>
        <v>8.5011024000000006</v>
      </c>
      <c r="K77" s="229"/>
      <c r="L77" s="229"/>
      <c r="M77" s="229"/>
      <c r="N77" s="230"/>
    </row>
    <row r="78" spans="1:14" s="185" customFormat="1" ht="24" customHeight="1" thickBot="1">
      <c r="A78" s="1158"/>
      <c r="B78" s="1779"/>
      <c r="C78" s="1330" t="s">
        <v>632</v>
      </c>
      <c r="D78" s="1775"/>
      <c r="E78" s="1776"/>
      <c r="F78" s="506" t="s">
        <v>112</v>
      </c>
      <c r="G78" s="258" t="s">
        <v>92</v>
      </c>
      <c r="H78" s="369">
        <v>29.9</v>
      </c>
      <c r="I78" s="369">
        <f>H78*1.006</f>
        <v>30.0794</v>
      </c>
      <c r="J78" s="369">
        <f>I78*1.006</f>
        <v>30.2598764</v>
      </c>
      <c r="K78" s="179" t="s">
        <v>605</v>
      </c>
      <c r="L78" s="179">
        <v>500</v>
      </c>
      <c r="M78" s="179">
        <v>500</v>
      </c>
      <c r="N78" s="180">
        <v>500</v>
      </c>
    </row>
    <row r="79" spans="1:14" ht="13.5" thickBot="1">
      <c r="A79" s="1158"/>
      <c r="B79" s="659"/>
      <c r="C79" s="1100" t="s">
        <v>76</v>
      </c>
      <c r="D79" s="1315"/>
      <c r="E79" s="1315"/>
      <c r="F79" s="1315"/>
      <c r="G79" s="1316"/>
      <c r="H79" s="345">
        <f>SUM(H78)</f>
        <v>29.9</v>
      </c>
      <c r="I79" s="346">
        <f>SUM(I78)</f>
        <v>30.0794</v>
      </c>
      <c r="J79" s="346">
        <f>SUM(J78)</f>
        <v>30.2598764</v>
      </c>
      <c r="K79" s="229"/>
      <c r="L79" s="229"/>
      <c r="M79" s="229"/>
      <c r="N79" s="230"/>
    </row>
    <row r="80" spans="1:14" ht="13.5" thickBot="1">
      <c r="A80" s="1161"/>
      <c r="B80" s="1100" t="s">
        <v>77</v>
      </c>
      <c r="C80" s="1259"/>
      <c r="D80" s="1259"/>
      <c r="E80" s="1259"/>
      <c r="F80" s="1259"/>
      <c r="G80" s="1445"/>
      <c r="H80" s="347">
        <f>H42+H44+H46+H50+H54+H56+H58+H61+H63+H67+H69+H71+H73+H75+H77+H79</f>
        <v>269</v>
      </c>
      <c r="I80" s="347">
        <f>I42+I44+I46+I50+I54+I56+I58+I61+I63+I67+I69+I71+I73+I75+I77+I79</f>
        <v>270.61400000000003</v>
      </c>
      <c r="J80" s="347">
        <f>J42+J44+J46+J50+J54+J56+J58+J61+J63+J67+J69+J71+J73+J75+J77+J79</f>
        <v>272.237684</v>
      </c>
      <c r="K80" s="118"/>
      <c r="L80" s="227"/>
      <c r="M80" s="227"/>
      <c r="N80" s="114"/>
    </row>
    <row r="81" spans="1:14" ht="13.5" thickBot="1">
      <c r="A81" s="1173" t="s">
        <v>203</v>
      </c>
      <c r="B81" s="1443"/>
      <c r="C81" s="1443"/>
      <c r="D81" s="1443"/>
      <c r="E81" s="1443"/>
      <c r="F81" s="1443"/>
      <c r="G81" s="1444"/>
      <c r="H81" s="348">
        <f>H80</f>
        <v>269</v>
      </c>
      <c r="I81" s="348">
        <f>I80</f>
        <v>270.61400000000003</v>
      </c>
      <c r="J81" s="348">
        <f>J80</f>
        <v>272.237684</v>
      </c>
      <c r="K81" s="119"/>
      <c r="L81" s="95"/>
      <c r="M81" s="95"/>
      <c r="N81" s="120"/>
    </row>
    <row r="82" spans="1:14" ht="40.15" customHeight="1">
      <c r="A82" s="1159" t="s">
        <v>292</v>
      </c>
      <c r="B82" s="1159" t="s">
        <v>293</v>
      </c>
      <c r="C82" s="1139" t="s">
        <v>294</v>
      </c>
      <c r="D82" s="1091"/>
      <c r="E82" s="1092"/>
      <c r="F82" s="1795" t="s">
        <v>112</v>
      </c>
      <c r="G82" s="1120" t="s">
        <v>79</v>
      </c>
      <c r="H82" s="1441">
        <v>30</v>
      </c>
      <c r="I82" s="1348">
        <f>H82*1.006</f>
        <v>30.18</v>
      </c>
      <c r="J82" s="1348">
        <f>I82*1.006</f>
        <v>30.361080000000001</v>
      </c>
      <c r="K82" s="828" t="s">
        <v>194</v>
      </c>
      <c r="L82" s="269">
        <v>13</v>
      </c>
      <c r="M82" s="269">
        <v>14</v>
      </c>
      <c r="N82" s="854">
        <v>15</v>
      </c>
    </row>
    <row r="83" spans="1:14" ht="40.15" customHeight="1" thickBot="1">
      <c r="A83" s="1158"/>
      <c r="B83" s="1158"/>
      <c r="C83" s="1164"/>
      <c r="D83" s="1475"/>
      <c r="E83" s="1165"/>
      <c r="F83" s="1349"/>
      <c r="G83" s="1411"/>
      <c r="H83" s="1796"/>
      <c r="I83" s="1349"/>
      <c r="J83" s="1349"/>
      <c r="K83" s="837" t="s">
        <v>195</v>
      </c>
      <c r="L83" s="270">
        <v>15</v>
      </c>
      <c r="M83" s="270">
        <v>15</v>
      </c>
      <c r="N83" s="855">
        <v>15</v>
      </c>
    </row>
    <row r="84" spans="1:14" ht="13.5" thickBot="1">
      <c r="A84" s="1158"/>
      <c r="B84" s="1158"/>
      <c r="C84" s="1100" t="s">
        <v>76</v>
      </c>
      <c r="D84" s="1315"/>
      <c r="E84" s="1315"/>
      <c r="F84" s="1315"/>
      <c r="G84" s="1316"/>
      <c r="H84" s="344">
        <f>SUM(H82)</f>
        <v>30</v>
      </c>
      <c r="I84" s="344">
        <f>SUM(I82)</f>
        <v>30.18</v>
      </c>
      <c r="J84" s="344">
        <f>SUM(J82)</f>
        <v>30.361080000000001</v>
      </c>
      <c r="K84" s="118"/>
      <c r="L84" s="227"/>
      <c r="M84" s="227"/>
      <c r="N84" s="114"/>
    </row>
    <row r="85" spans="1:14" ht="28.15" customHeight="1" thickBot="1">
      <c r="A85" s="1158"/>
      <c r="B85" s="1158"/>
      <c r="C85" s="1103" t="s">
        <v>303</v>
      </c>
      <c r="D85" s="1104"/>
      <c r="E85" s="1105"/>
      <c r="F85" s="481" t="s">
        <v>112</v>
      </c>
      <c r="G85" s="856" t="s">
        <v>79</v>
      </c>
      <c r="H85" s="857">
        <v>2</v>
      </c>
      <c r="I85" s="858">
        <f>H85*1.006</f>
        <v>2.012</v>
      </c>
      <c r="J85" s="858">
        <f>I85*1.006</f>
        <v>2.0240719999999999</v>
      </c>
      <c r="K85" s="352" t="s">
        <v>146</v>
      </c>
      <c r="L85" s="677">
        <v>4</v>
      </c>
      <c r="M85" s="677">
        <v>4</v>
      </c>
      <c r="N85" s="678">
        <v>4</v>
      </c>
    </row>
    <row r="86" spans="1:14" ht="13.5" thickBot="1">
      <c r="A86" s="1158"/>
      <c r="B86" s="1158"/>
      <c r="C86" s="1259" t="s">
        <v>76</v>
      </c>
      <c r="D86" s="1255"/>
      <c r="E86" s="1255"/>
      <c r="F86" s="1255"/>
      <c r="G86" s="1255"/>
      <c r="H86" s="320">
        <f>SUM(H85)</f>
        <v>2</v>
      </c>
      <c r="I86" s="321">
        <f>SUM(I85)</f>
        <v>2.012</v>
      </c>
      <c r="J86" s="321">
        <f>SUM(J85)</f>
        <v>2.0240719999999999</v>
      </c>
      <c r="K86" s="195"/>
      <c r="L86" s="227"/>
      <c r="M86" s="227"/>
      <c r="N86" s="114"/>
    </row>
    <row r="87" spans="1:14" ht="23.25" customHeight="1">
      <c r="A87" s="1158"/>
      <c r="B87" s="1158"/>
      <c r="C87" s="1557" t="s">
        <v>302</v>
      </c>
      <c r="D87" s="1277"/>
      <c r="E87" s="1278"/>
      <c r="F87" s="1560" t="s">
        <v>112</v>
      </c>
      <c r="G87" s="1072" t="s">
        <v>79</v>
      </c>
      <c r="H87" s="1108">
        <v>29</v>
      </c>
      <c r="I87" s="1523">
        <f>H87*1.006</f>
        <v>29.173999999999999</v>
      </c>
      <c r="J87" s="1792">
        <f>I87*1.006</f>
        <v>29.349043999999999</v>
      </c>
      <c r="K87" s="859" t="s">
        <v>295</v>
      </c>
      <c r="L87" s="306">
        <v>2</v>
      </c>
      <c r="M87" s="306">
        <v>2</v>
      </c>
      <c r="N87" s="620">
        <v>2</v>
      </c>
    </row>
    <row r="88" spans="1:14" ht="27.75" customHeight="1">
      <c r="A88" s="1158"/>
      <c r="B88" s="1158"/>
      <c r="C88" s="1280"/>
      <c r="D88" s="1280"/>
      <c r="E88" s="1281"/>
      <c r="F88" s="1086"/>
      <c r="G88" s="1145"/>
      <c r="H88" s="1082"/>
      <c r="I88" s="1086"/>
      <c r="J88" s="1793"/>
      <c r="K88" s="860" t="s">
        <v>297</v>
      </c>
      <c r="L88" s="263">
        <v>1</v>
      </c>
      <c r="M88" s="263">
        <v>1</v>
      </c>
      <c r="N88" s="612">
        <v>1</v>
      </c>
    </row>
    <row r="89" spans="1:14" ht="25.15" customHeight="1">
      <c r="A89" s="1158"/>
      <c r="B89" s="1158"/>
      <c r="C89" s="1280"/>
      <c r="D89" s="1280"/>
      <c r="E89" s="1281"/>
      <c r="F89" s="1086"/>
      <c r="G89" s="1145"/>
      <c r="H89" s="1082"/>
      <c r="I89" s="1086"/>
      <c r="J89" s="1793"/>
      <c r="K89" s="860" t="s">
        <v>296</v>
      </c>
      <c r="L89" s="263">
        <v>2</v>
      </c>
      <c r="M89" s="263">
        <v>2</v>
      </c>
      <c r="N89" s="612">
        <v>2</v>
      </c>
    </row>
    <row r="90" spans="1:14" ht="29.25" customHeight="1" thickBot="1">
      <c r="A90" s="1158"/>
      <c r="B90" s="1158"/>
      <c r="C90" s="1283"/>
      <c r="D90" s="1283"/>
      <c r="E90" s="1284"/>
      <c r="F90" s="1069"/>
      <c r="G90" s="1073"/>
      <c r="H90" s="1075"/>
      <c r="I90" s="1069"/>
      <c r="J90" s="1794"/>
      <c r="K90" s="861" t="s">
        <v>298</v>
      </c>
      <c r="L90" s="262">
        <v>1</v>
      </c>
      <c r="M90" s="262">
        <v>1</v>
      </c>
      <c r="N90" s="617">
        <v>1</v>
      </c>
    </row>
    <row r="91" spans="1:14" ht="13.5" thickBot="1">
      <c r="A91" s="1158"/>
      <c r="B91" s="1158"/>
      <c r="C91" s="1259" t="s">
        <v>76</v>
      </c>
      <c r="D91" s="1255"/>
      <c r="E91" s="1255"/>
      <c r="F91" s="1255"/>
      <c r="G91" s="1256"/>
      <c r="H91" s="349">
        <f>SUM(H87)</f>
        <v>29</v>
      </c>
      <c r="I91" s="349">
        <f>SUM(I87)</f>
        <v>29.173999999999999</v>
      </c>
      <c r="J91" s="349">
        <f>SUM(J87)</f>
        <v>29.349043999999999</v>
      </c>
      <c r="K91" s="194"/>
      <c r="L91" s="61"/>
      <c r="M91" s="61"/>
      <c r="N91" s="116"/>
    </row>
    <row r="92" spans="1:14" ht="13.5" thickBot="1">
      <c r="A92" s="1158"/>
      <c r="B92" s="1100" t="s">
        <v>77</v>
      </c>
      <c r="C92" s="1255"/>
      <c r="D92" s="1255"/>
      <c r="E92" s="1255"/>
      <c r="F92" s="1255"/>
      <c r="G92" s="1255"/>
      <c r="H92" s="347">
        <f>H84+H91+H86</f>
        <v>61</v>
      </c>
      <c r="I92" s="347">
        <f>I84+I91+I86</f>
        <v>61.366</v>
      </c>
      <c r="J92" s="347">
        <f>J84+J91+J86</f>
        <v>61.734195999999997</v>
      </c>
      <c r="K92" s="118"/>
      <c r="L92" s="227"/>
      <c r="M92" s="227"/>
      <c r="N92" s="114"/>
    </row>
    <row r="93" spans="1:14" s="185" customFormat="1" ht="52.15" customHeight="1" thickBot="1">
      <c r="A93" s="1158"/>
      <c r="B93" s="1257" t="s">
        <v>299</v>
      </c>
      <c r="C93" s="1090" t="s">
        <v>494</v>
      </c>
      <c r="D93" s="1091"/>
      <c r="E93" s="1092"/>
      <c r="F93" s="352" t="s">
        <v>112</v>
      </c>
      <c r="G93" s="657" t="s">
        <v>79</v>
      </c>
      <c r="H93" s="691">
        <v>12.5</v>
      </c>
      <c r="I93" s="691">
        <f>H93*1.006</f>
        <v>12.574999999999999</v>
      </c>
      <c r="J93" s="691">
        <f>I93*1.006</f>
        <v>12.650449999999999</v>
      </c>
      <c r="K93" s="450" t="s">
        <v>50</v>
      </c>
      <c r="L93" s="862">
        <v>60</v>
      </c>
      <c r="M93" s="862">
        <v>60</v>
      </c>
      <c r="N93" s="863">
        <v>60</v>
      </c>
    </row>
    <row r="94" spans="1:14" ht="13.5" thickBot="1">
      <c r="A94" s="1158"/>
      <c r="B94" s="1160"/>
      <c r="C94" s="1100" t="s">
        <v>76</v>
      </c>
      <c r="D94" s="1259"/>
      <c r="E94" s="1259"/>
      <c r="F94" s="1259"/>
      <c r="G94" s="1445"/>
      <c r="H94" s="345">
        <f>SUM(H93)</f>
        <v>12.5</v>
      </c>
      <c r="I94" s="346">
        <f>SUM(I93)</f>
        <v>12.574999999999999</v>
      </c>
      <c r="J94" s="346">
        <f>SUM(J93)</f>
        <v>12.650449999999999</v>
      </c>
      <c r="K94" s="192"/>
      <c r="L94" s="190"/>
      <c r="M94" s="190"/>
      <c r="N94" s="191"/>
    </row>
    <row r="95" spans="1:14" ht="47.25" customHeight="1" thickBot="1">
      <c r="A95" s="1158"/>
      <c r="B95" s="1160"/>
      <c r="C95" s="1103" t="s">
        <v>493</v>
      </c>
      <c r="D95" s="1104"/>
      <c r="E95" s="1105"/>
      <c r="F95" s="511" t="s">
        <v>112</v>
      </c>
      <c r="G95" s="512" t="s">
        <v>79</v>
      </c>
      <c r="H95" s="864">
        <v>40</v>
      </c>
      <c r="I95" s="865">
        <f>H95*1.006</f>
        <v>40.24</v>
      </c>
      <c r="J95" s="865">
        <f>I95*1.006</f>
        <v>40.481439999999999</v>
      </c>
      <c r="K95" s="640" t="s">
        <v>300</v>
      </c>
      <c r="L95" s="866">
        <v>4</v>
      </c>
      <c r="M95" s="866">
        <v>4</v>
      </c>
      <c r="N95" s="867">
        <v>4</v>
      </c>
    </row>
    <row r="96" spans="1:14" ht="13.5" thickBot="1">
      <c r="A96" s="1158"/>
      <c r="B96" s="1424"/>
      <c r="C96" s="1100" t="s">
        <v>76</v>
      </c>
      <c r="D96" s="1255"/>
      <c r="E96" s="1255"/>
      <c r="F96" s="1255"/>
      <c r="G96" s="1256"/>
      <c r="H96" s="320">
        <f>H95</f>
        <v>40</v>
      </c>
      <c r="I96" s="321">
        <f>I95</f>
        <v>40.24</v>
      </c>
      <c r="J96" s="321">
        <f>J95</f>
        <v>40.481439999999999</v>
      </c>
      <c r="K96" s="39"/>
      <c r="L96" s="121"/>
      <c r="M96" s="121"/>
      <c r="N96" s="122"/>
    </row>
    <row r="97" spans="1:14" ht="13.5" thickBot="1">
      <c r="A97" s="1158"/>
      <c r="B97" s="1100" t="s">
        <v>77</v>
      </c>
      <c r="C97" s="1255"/>
      <c r="D97" s="1255"/>
      <c r="E97" s="1255"/>
      <c r="F97" s="1255"/>
      <c r="G97" s="1256"/>
      <c r="H97" s="347">
        <f>H94+H96</f>
        <v>52.5</v>
      </c>
      <c r="I97" s="347">
        <f>I94+I96</f>
        <v>52.814999999999998</v>
      </c>
      <c r="J97" s="347">
        <f>J94+J96</f>
        <v>53.131889999999999</v>
      </c>
      <c r="K97" s="227"/>
      <c r="L97" s="227"/>
      <c r="M97" s="227"/>
      <c r="N97" s="228"/>
    </row>
    <row r="98" spans="1:14" ht="18" customHeight="1" thickBot="1">
      <c r="A98" s="1158"/>
      <c r="B98" s="1159" t="s">
        <v>301</v>
      </c>
      <c r="C98" s="1781" t="s">
        <v>19</v>
      </c>
      <c r="D98" s="1219"/>
      <c r="E98" s="1220"/>
      <c r="F98" s="342" t="s">
        <v>112</v>
      </c>
      <c r="G98" s="657" t="s">
        <v>79</v>
      </c>
      <c r="H98" s="682">
        <v>14</v>
      </c>
      <c r="I98" s="682">
        <f>H98*1.006</f>
        <v>14.084</v>
      </c>
      <c r="J98" s="682">
        <f>I98*1.006</f>
        <v>14.168504</v>
      </c>
      <c r="K98" s="685" t="s">
        <v>245</v>
      </c>
      <c r="L98" s="868">
        <v>1</v>
      </c>
      <c r="M98" s="868">
        <v>1</v>
      </c>
      <c r="N98" s="869">
        <v>1</v>
      </c>
    </row>
    <row r="99" spans="1:14" s="185" customFormat="1" ht="13.5" thickBot="1">
      <c r="A99" s="1158"/>
      <c r="B99" s="1158"/>
      <c r="C99" s="1100" t="s">
        <v>76</v>
      </c>
      <c r="D99" s="1315"/>
      <c r="E99" s="1315"/>
      <c r="F99" s="1315"/>
      <c r="G99" s="1316"/>
      <c r="H99" s="343">
        <f>SUM(H98)</f>
        <v>14</v>
      </c>
      <c r="I99" s="344">
        <f>SUM(I98)</f>
        <v>14.084</v>
      </c>
      <c r="J99" s="344">
        <f>SUM(J98)</f>
        <v>14.168504</v>
      </c>
      <c r="K99" s="227"/>
      <c r="L99" s="227"/>
      <c r="M99" s="227"/>
      <c r="N99" s="228"/>
    </row>
    <row r="100" spans="1:14" ht="21.75" customHeight="1" thickBot="1">
      <c r="A100" s="1158"/>
      <c r="B100" s="1158"/>
      <c r="C100" s="1330" t="s">
        <v>492</v>
      </c>
      <c r="D100" s="1343"/>
      <c r="E100" s="1344"/>
      <c r="F100" s="342" t="s">
        <v>112</v>
      </c>
      <c r="G100" s="657" t="s">
        <v>79</v>
      </c>
      <c r="H100" s="691">
        <v>15</v>
      </c>
      <c r="I100" s="682">
        <f>H100*1.006</f>
        <v>15.09</v>
      </c>
      <c r="J100" s="682">
        <f>I100*1.006</f>
        <v>15.180540000000001</v>
      </c>
      <c r="K100" s="685" t="s">
        <v>246</v>
      </c>
      <c r="L100" s="868">
        <v>1</v>
      </c>
      <c r="M100" s="868">
        <v>1</v>
      </c>
      <c r="N100" s="869">
        <v>1</v>
      </c>
    </row>
    <row r="101" spans="1:14" ht="13.5" thickBot="1">
      <c r="A101" s="1158"/>
      <c r="B101" s="1161"/>
      <c r="C101" s="1100" t="s">
        <v>76</v>
      </c>
      <c r="D101" s="1315"/>
      <c r="E101" s="1315"/>
      <c r="F101" s="1315"/>
      <c r="G101" s="1316"/>
      <c r="H101" s="343">
        <f>SUM(H100)</f>
        <v>15</v>
      </c>
      <c r="I101" s="344">
        <f>SUM(I100)</f>
        <v>15.09</v>
      </c>
      <c r="J101" s="344">
        <f>SUM(J100)</f>
        <v>15.180540000000001</v>
      </c>
      <c r="K101" s="227"/>
      <c r="L101" s="227"/>
      <c r="M101" s="227"/>
      <c r="N101" s="228"/>
    </row>
    <row r="102" spans="1:14" s="185" customFormat="1" ht="13.5" thickBot="1">
      <c r="A102" s="1161"/>
      <c r="B102" s="1126" t="s">
        <v>77</v>
      </c>
      <c r="C102" s="1473"/>
      <c r="D102" s="1473"/>
      <c r="E102" s="1473"/>
      <c r="F102" s="1473"/>
      <c r="G102" s="1474"/>
      <c r="H102" s="347">
        <f>H101+H99</f>
        <v>29</v>
      </c>
      <c r="I102" s="351">
        <f>I101+I99</f>
        <v>29.173999999999999</v>
      </c>
      <c r="J102" s="351">
        <f>J101+J99</f>
        <v>29.349043999999999</v>
      </c>
      <c r="K102" s="227"/>
      <c r="L102" s="227"/>
      <c r="M102" s="227"/>
      <c r="N102" s="228"/>
    </row>
    <row r="103" spans="1:14" s="185" customFormat="1" ht="13.5" thickBot="1">
      <c r="A103" s="1173" t="s">
        <v>203</v>
      </c>
      <c r="B103" s="1339"/>
      <c r="C103" s="1339"/>
      <c r="D103" s="1339"/>
      <c r="E103" s="1339"/>
      <c r="F103" s="1339"/>
      <c r="G103" s="1340"/>
      <c r="H103" s="348">
        <f>H102+H97+H92</f>
        <v>142.5</v>
      </c>
      <c r="I103" s="357">
        <f>I102+I97+I92</f>
        <v>143.35500000000002</v>
      </c>
      <c r="J103" s="357">
        <f>J102+J97+J92</f>
        <v>144.21512999999999</v>
      </c>
      <c r="K103" s="95"/>
      <c r="L103" s="95"/>
      <c r="M103" s="95"/>
      <c r="N103" s="97"/>
    </row>
    <row r="104" spans="1:14" ht="36.6" customHeight="1" thickBot="1">
      <c r="A104" s="1341" t="s">
        <v>479</v>
      </c>
      <c r="B104" s="1341" t="s">
        <v>20</v>
      </c>
      <c r="C104" s="870" t="s">
        <v>304</v>
      </c>
      <c r="D104" s="870"/>
      <c r="E104" s="342"/>
      <c r="F104" s="342" t="s">
        <v>112</v>
      </c>
      <c r="G104" s="657" t="s">
        <v>79</v>
      </c>
      <c r="H104" s="688">
        <v>5.4</v>
      </c>
      <c r="I104" s="691">
        <f>H104*1.006</f>
        <v>5.4324000000000003</v>
      </c>
      <c r="J104" s="691">
        <f>I104*1.006</f>
        <v>5.4649944000000001</v>
      </c>
      <c r="K104" s="684" t="s">
        <v>221</v>
      </c>
      <c r="L104" s="685">
        <v>67</v>
      </c>
      <c r="M104" s="685">
        <v>67</v>
      </c>
      <c r="N104" s="685">
        <v>67</v>
      </c>
    </row>
    <row r="105" spans="1:14" s="185" customFormat="1" ht="12" thickBot="1">
      <c r="A105" s="1341"/>
      <c r="B105" s="1341"/>
      <c r="C105" s="1535" t="s">
        <v>76</v>
      </c>
      <c r="D105" s="1788"/>
      <c r="E105" s="1788"/>
      <c r="F105" s="1788"/>
      <c r="G105" s="1788"/>
      <c r="H105" s="320">
        <f>SUM(H104)</f>
        <v>5.4</v>
      </c>
      <c r="I105" s="286">
        <f>SUM(I104)</f>
        <v>5.4324000000000003</v>
      </c>
      <c r="J105" s="286">
        <f>SUM(J104)</f>
        <v>5.4649944000000001</v>
      </c>
      <c r="K105" s="227"/>
      <c r="L105" s="227"/>
      <c r="M105" s="227"/>
      <c r="N105" s="228"/>
    </row>
    <row r="106" spans="1:14" ht="33.6" customHeight="1" thickBot="1">
      <c r="A106" s="1341"/>
      <c r="B106" s="1341"/>
      <c r="C106" s="871" t="s">
        <v>845</v>
      </c>
      <c r="D106" s="872"/>
      <c r="E106" s="873"/>
      <c r="F106" s="873" t="s">
        <v>112</v>
      </c>
      <c r="G106" s="690" t="s">
        <v>79</v>
      </c>
      <c r="H106" s="695">
        <v>10</v>
      </c>
      <c r="I106" s="695">
        <f>H106*1.006</f>
        <v>10.06</v>
      </c>
      <c r="J106" s="695">
        <f>I106*1.006</f>
        <v>10.12036</v>
      </c>
      <c r="K106" s="680" t="s">
        <v>607</v>
      </c>
      <c r="L106" s="707">
        <v>1</v>
      </c>
      <c r="M106" s="707">
        <v>1</v>
      </c>
      <c r="N106" s="708">
        <v>1</v>
      </c>
    </row>
    <row r="107" spans="1:14" ht="13.5" thickBot="1">
      <c r="A107" s="1341"/>
      <c r="B107" s="1780"/>
      <c r="C107" s="1336" t="s">
        <v>76</v>
      </c>
      <c r="D107" s="1437"/>
      <c r="E107" s="1437"/>
      <c r="F107" s="1437"/>
      <c r="G107" s="1437"/>
      <c r="H107" s="345">
        <f>SUM(H106)</f>
        <v>10</v>
      </c>
      <c r="I107" s="346">
        <f>SUM(I106)</f>
        <v>10.06</v>
      </c>
      <c r="J107" s="346">
        <f>SUM(J106)</f>
        <v>10.12036</v>
      </c>
      <c r="K107" s="229"/>
      <c r="L107" s="229"/>
      <c r="M107" s="229"/>
      <c r="N107" s="230"/>
    </row>
    <row r="108" spans="1:14" ht="13.5" thickBot="1">
      <c r="A108" s="1341"/>
      <c r="B108" s="1535" t="s">
        <v>77</v>
      </c>
      <c r="C108" s="1788"/>
      <c r="D108" s="1788"/>
      <c r="E108" s="1788"/>
      <c r="F108" s="1788"/>
      <c r="G108" s="1788"/>
      <c r="H108" s="355">
        <f>H107+H105</f>
        <v>15.4</v>
      </c>
      <c r="I108" s="355">
        <f>I107+I105</f>
        <v>15.4924</v>
      </c>
      <c r="J108" s="355">
        <f>J107+J105</f>
        <v>15.5853544</v>
      </c>
      <c r="K108" s="148"/>
      <c r="L108" s="148"/>
      <c r="M108" s="148"/>
      <c r="N108" s="109"/>
    </row>
    <row r="109" spans="1:14" ht="13.5" thickBot="1">
      <c r="A109" s="1173" t="s">
        <v>203</v>
      </c>
      <c r="B109" s="1339"/>
      <c r="C109" s="1339"/>
      <c r="D109" s="1339"/>
      <c r="E109" s="1339"/>
      <c r="F109" s="1339"/>
      <c r="G109" s="1339"/>
      <c r="H109" s="356">
        <f>H108</f>
        <v>15.4</v>
      </c>
      <c r="I109" s="348">
        <f>I108</f>
        <v>15.4924</v>
      </c>
      <c r="J109" s="348">
        <f>J108</f>
        <v>15.5853544</v>
      </c>
      <c r="K109" s="95"/>
      <c r="L109" s="95"/>
      <c r="M109" s="95"/>
      <c r="N109" s="97"/>
    </row>
    <row r="110" spans="1:14" ht="57.75" customHeight="1" thickBot="1">
      <c r="A110" s="1341" t="s">
        <v>310</v>
      </c>
      <c r="B110" s="1341" t="s">
        <v>311</v>
      </c>
      <c r="C110" s="1142" t="s">
        <v>404</v>
      </c>
      <c r="D110" s="1142"/>
      <c r="E110" s="1143"/>
      <c r="F110" s="353" t="s">
        <v>112</v>
      </c>
      <c r="G110" s="650" t="s">
        <v>79</v>
      </c>
      <c r="H110" s="451">
        <f>124.2</f>
        <v>124.2</v>
      </c>
      <c r="I110" s="451">
        <f>H110*1.006</f>
        <v>124.9452</v>
      </c>
      <c r="J110" s="451">
        <f>I110*1.006</f>
        <v>125.69487119999999</v>
      </c>
      <c r="K110" s="874" t="s">
        <v>305</v>
      </c>
      <c r="L110" s="306">
        <v>100</v>
      </c>
      <c r="M110" s="306">
        <v>100</v>
      </c>
      <c r="N110" s="620">
        <v>100</v>
      </c>
    </row>
    <row r="111" spans="1:14" ht="13.5" thickBot="1">
      <c r="A111" s="1341"/>
      <c r="B111" s="1341"/>
      <c r="C111" s="1126" t="s">
        <v>76</v>
      </c>
      <c r="D111" s="1367"/>
      <c r="E111" s="1367"/>
      <c r="F111" s="1367"/>
      <c r="G111" s="1387"/>
      <c r="H111" s="345">
        <f>SUM(H110:H110)</f>
        <v>124.2</v>
      </c>
      <c r="I111" s="346">
        <f>SUM(I110:I110)</f>
        <v>124.9452</v>
      </c>
      <c r="J111" s="346">
        <f>SUM(J110:J110)</f>
        <v>125.69487119999999</v>
      </c>
      <c r="K111" s="229"/>
      <c r="L111" s="229"/>
      <c r="M111" s="229"/>
      <c r="N111" s="228"/>
    </row>
    <row r="112" spans="1:14" ht="13.5" thickBot="1">
      <c r="A112" s="1341"/>
      <c r="B112" s="1126" t="s">
        <v>77</v>
      </c>
      <c r="C112" s="1367"/>
      <c r="D112" s="1367"/>
      <c r="E112" s="1367"/>
      <c r="F112" s="1367"/>
      <c r="G112" s="1367"/>
      <c r="H112" s="347">
        <f t="shared" ref="H112:J113" si="0">H111</f>
        <v>124.2</v>
      </c>
      <c r="I112" s="351">
        <f t="shared" si="0"/>
        <v>124.9452</v>
      </c>
      <c r="J112" s="351">
        <f t="shared" si="0"/>
        <v>125.69487119999999</v>
      </c>
      <c r="K112" s="124"/>
      <c r="L112" s="196"/>
      <c r="M112" s="197"/>
      <c r="N112" s="198"/>
    </row>
    <row r="113" spans="1:14" ht="13.5" thickBot="1">
      <c r="A113" s="1173" t="s">
        <v>203</v>
      </c>
      <c r="B113" s="1339"/>
      <c r="C113" s="1339"/>
      <c r="D113" s="1339"/>
      <c r="E113" s="1339"/>
      <c r="F113" s="1339"/>
      <c r="G113" s="1340"/>
      <c r="H113" s="320">
        <f t="shared" si="0"/>
        <v>124.2</v>
      </c>
      <c r="I113" s="321">
        <f t="shared" si="0"/>
        <v>124.9452</v>
      </c>
      <c r="J113" s="321">
        <f t="shared" si="0"/>
        <v>125.69487119999999</v>
      </c>
      <c r="K113" s="227"/>
      <c r="L113" s="227"/>
      <c r="M113" s="227"/>
      <c r="N113" s="228"/>
    </row>
    <row r="114" spans="1:14" ht="21" customHeight="1">
      <c r="A114" s="1159" t="s">
        <v>21</v>
      </c>
      <c r="B114" s="1159" t="s">
        <v>22</v>
      </c>
      <c r="C114" s="1368" t="s">
        <v>306</v>
      </c>
      <c r="D114" s="1093"/>
      <c r="E114" s="1093"/>
      <c r="F114" s="1560" t="s">
        <v>112</v>
      </c>
      <c r="G114" s="638" t="s">
        <v>79</v>
      </c>
      <c r="H114" s="646">
        <v>40</v>
      </c>
      <c r="I114" s="451">
        <v>50</v>
      </c>
      <c r="J114" s="451">
        <v>50</v>
      </c>
      <c r="K114" s="1748" t="s">
        <v>307</v>
      </c>
      <c r="L114" s="1783">
        <v>6</v>
      </c>
      <c r="M114" s="1783">
        <v>3</v>
      </c>
      <c r="N114" s="1784">
        <v>3</v>
      </c>
    </row>
    <row r="115" spans="1:14" ht="25.5" customHeight="1" thickBot="1">
      <c r="A115" s="1158"/>
      <c r="B115" s="1157"/>
      <c r="C115" s="1801"/>
      <c r="D115" s="1095"/>
      <c r="E115" s="1095"/>
      <c r="F115" s="1086"/>
      <c r="G115" s="652" t="s">
        <v>98</v>
      </c>
      <c r="H115" s="907">
        <v>150</v>
      </c>
      <c r="I115" s="398">
        <v>180</v>
      </c>
      <c r="J115" s="398">
        <v>180</v>
      </c>
      <c r="K115" s="1347"/>
      <c r="L115" s="1276"/>
      <c r="M115" s="1276"/>
      <c r="N115" s="1785"/>
    </row>
    <row r="116" spans="1:14" ht="13.5" thickBot="1">
      <c r="A116" s="1158"/>
      <c r="B116" s="1157"/>
      <c r="C116" s="1259" t="s">
        <v>76</v>
      </c>
      <c r="D116" s="1315"/>
      <c r="E116" s="1315"/>
      <c r="F116" s="1315"/>
      <c r="G116" s="1315"/>
      <c r="H116" s="320">
        <f>H114+H115</f>
        <v>190</v>
      </c>
      <c r="I116" s="321">
        <f>I114+I115</f>
        <v>230</v>
      </c>
      <c r="J116" s="321">
        <f>J114+J115</f>
        <v>230</v>
      </c>
      <c r="K116" s="124"/>
      <c r="L116" s="227"/>
      <c r="M116" s="227"/>
      <c r="N116" s="228"/>
    </row>
    <row r="117" spans="1:14" ht="24.75" customHeight="1">
      <c r="A117" s="1158"/>
      <c r="B117" s="1157"/>
      <c r="C117" s="1786" t="s">
        <v>314</v>
      </c>
      <c r="D117" s="1077"/>
      <c r="E117" s="1077"/>
      <c r="F117" s="1560" t="s">
        <v>112</v>
      </c>
      <c r="G117" s="1072" t="s">
        <v>79</v>
      </c>
      <c r="H117" s="1074">
        <v>20</v>
      </c>
      <c r="I117" s="1074">
        <f>H117*1.006</f>
        <v>20.12</v>
      </c>
      <c r="J117" s="1074">
        <f>I117*1.006</f>
        <v>20.24072</v>
      </c>
      <c r="K117" s="698" t="s">
        <v>308</v>
      </c>
      <c r="L117" s="687">
        <v>1</v>
      </c>
      <c r="M117" s="687">
        <v>2</v>
      </c>
      <c r="N117" s="683">
        <v>1</v>
      </c>
    </row>
    <row r="118" spans="1:14" ht="24.75" customHeight="1" thickBot="1">
      <c r="A118" s="1158"/>
      <c r="B118" s="1157"/>
      <c r="C118" s="1390"/>
      <c r="D118" s="1079"/>
      <c r="E118" s="1079"/>
      <c r="F118" s="1069"/>
      <c r="G118" s="1073"/>
      <c r="H118" s="1787"/>
      <c r="I118" s="1787"/>
      <c r="J118" s="1787"/>
      <c r="K118" s="703" t="s">
        <v>309</v>
      </c>
      <c r="L118" s="262">
        <v>3</v>
      </c>
      <c r="M118" s="262">
        <v>2</v>
      </c>
      <c r="N118" s="617">
        <v>2</v>
      </c>
    </row>
    <row r="119" spans="1:14" ht="13.5" thickBot="1">
      <c r="A119" s="1158"/>
      <c r="B119" s="1157"/>
      <c r="C119" s="1262" t="s">
        <v>76</v>
      </c>
      <c r="D119" s="1383"/>
      <c r="E119" s="1383"/>
      <c r="F119" s="1383"/>
      <c r="G119" s="1384"/>
      <c r="H119" s="349">
        <f>SUM(H117)</f>
        <v>20</v>
      </c>
      <c r="I119" s="350">
        <f>SUM(I117)</f>
        <v>20.12</v>
      </c>
      <c r="J119" s="350">
        <f>SUM(J117)</f>
        <v>20.24072</v>
      </c>
      <c r="K119" s="68"/>
      <c r="L119" s="68"/>
      <c r="M119" s="68"/>
      <c r="N119" s="416"/>
    </row>
    <row r="120" spans="1:14" ht="27.6" customHeight="1" thickBot="1">
      <c r="A120" s="1158"/>
      <c r="B120" s="1157"/>
      <c r="C120" s="1527" t="s">
        <v>495</v>
      </c>
      <c r="D120" s="1331"/>
      <c r="E120" s="1332"/>
      <c r="F120" s="875" t="s">
        <v>112</v>
      </c>
      <c r="G120" s="258" t="s">
        <v>79</v>
      </c>
      <c r="H120" s="369">
        <v>50</v>
      </c>
      <c r="I120" s="369">
        <v>0</v>
      </c>
      <c r="J120" s="369">
        <v>0</v>
      </c>
      <c r="K120" s="179" t="s">
        <v>496</v>
      </c>
      <c r="L120" s="179">
        <v>1</v>
      </c>
      <c r="M120" s="876"/>
      <c r="N120" s="877"/>
    </row>
    <row r="121" spans="1:14" ht="13.5" thickBot="1">
      <c r="A121" s="1158"/>
      <c r="B121" s="1179"/>
      <c r="C121" s="1262" t="s">
        <v>76</v>
      </c>
      <c r="D121" s="1383"/>
      <c r="E121" s="1383"/>
      <c r="F121" s="1383"/>
      <c r="G121" s="1384"/>
      <c r="H121" s="359">
        <f>SUM(H120)</f>
        <v>50</v>
      </c>
      <c r="I121" s="359">
        <f>SUM(I120)</f>
        <v>0</v>
      </c>
      <c r="J121" s="359">
        <f>SUM(J120)</f>
        <v>0</v>
      </c>
      <c r="K121" s="110"/>
      <c r="L121" s="110"/>
      <c r="M121" s="110"/>
      <c r="N121" s="111"/>
    </row>
    <row r="122" spans="1:14" ht="13.5" thickBot="1">
      <c r="A122" s="1161"/>
      <c r="B122" s="1100" t="s">
        <v>77</v>
      </c>
      <c r="C122" s="1315"/>
      <c r="D122" s="1315"/>
      <c r="E122" s="1315"/>
      <c r="F122" s="1315"/>
      <c r="G122" s="1316"/>
      <c r="H122" s="347">
        <f>H119+H116+H121</f>
        <v>260</v>
      </c>
      <c r="I122" s="347">
        <f>I119+I116+I121</f>
        <v>250.12</v>
      </c>
      <c r="J122" s="347">
        <f>J119+J116+J121</f>
        <v>250.24072000000001</v>
      </c>
      <c r="K122" s="124"/>
      <c r="L122" s="99"/>
      <c r="M122" s="99"/>
      <c r="N122" s="100"/>
    </row>
    <row r="123" spans="1:14" ht="13.5" thickBot="1">
      <c r="A123" s="1173" t="s">
        <v>203</v>
      </c>
      <c r="B123" s="1339"/>
      <c r="C123" s="1473"/>
      <c r="D123" s="1473"/>
      <c r="E123" s="1473"/>
      <c r="F123" s="1473"/>
      <c r="G123" s="1474"/>
      <c r="H123" s="315">
        <f>H122</f>
        <v>260</v>
      </c>
      <c r="I123" s="315">
        <f>I122</f>
        <v>250.12</v>
      </c>
      <c r="J123" s="315">
        <f>J122</f>
        <v>250.24072000000001</v>
      </c>
      <c r="K123" s="193"/>
      <c r="L123" s="878"/>
      <c r="M123" s="878"/>
      <c r="N123" s="879"/>
    </row>
    <row r="124" spans="1:14" ht="24.75" customHeight="1" thickBot="1">
      <c r="A124" s="1800" t="s">
        <v>312</v>
      </c>
      <c r="B124" s="1157" t="s">
        <v>313</v>
      </c>
      <c r="C124" s="1083" t="s">
        <v>317</v>
      </c>
      <c r="D124" s="1084"/>
      <c r="E124" s="1084"/>
      <c r="F124" s="720" t="s">
        <v>112</v>
      </c>
      <c r="G124" s="258" t="s">
        <v>79</v>
      </c>
      <c r="H124" s="369">
        <v>15</v>
      </c>
      <c r="I124" s="369">
        <f>H124*1.006</f>
        <v>15.09</v>
      </c>
      <c r="J124" s="369">
        <f>I124*1.006</f>
        <v>15.180540000000001</v>
      </c>
      <c r="K124" s="741" t="s">
        <v>258</v>
      </c>
      <c r="L124" s="179">
        <v>6</v>
      </c>
      <c r="M124" s="179">
        <v>6</v>
      </c>
      <c r="N124" s="180">
        <v>6</v>
      </c>
    </row>
    <row r="125" spans="1:14" ht="13.5" thickBot="1">
      <c r="A125" s="1341"/>
      <c r="B125" s="1158"/>
      <c r="C125" s="1259" t="s">
        <v>76</v>
      </c>
      <c r="D125" s="1315"/>
      <c r="E125" s="1315"/>
      <c r="F125" s="1315"/>
      <c r="G125" s="1316"/>
      <c r="H125" s="343">
        <f>SUM(H124)</f>
        <v>15</v>
      </c>
      <c r="I125" s="344">
        <f>SUM(I124)</f>
        <v>15.09</v>
      </c>
      <c r="J125" s="344">
        <f>SUM(J124)</f>
        <v>15.180540000000001</v>
      </c>
      <c r="K125" s="57"/>
      <c r="L125" s="57"/>
      <c r="M125" s="57"/>
      <c r="N125" s="98"/>
    </row>
    <row r="126" spans="1:14" ht="25.15" customHeight="1">
      <c r="A126" s="1341"/>
      <c r="B126" s="1158"/>
      <c r="C126" s="1308" t="s">
        <v>497</v>
      </c>
      <c r="D126" s="1095"/>
      <c r="E126" s="1095"/>
      <c r="F126" s="1802" t="s">
        <v>112</v>
      </c>
      <c r="G126" s="647" t="s">
        <v>79</v>
      </c>
      <c r="H126" s="460">
        <v>20.399999999999999</v>
      </c>
      <c r="I126" s="460">
        <v>3.2</v>
      </c>
      <c r="J126" s="460">
        <v>1.4</v>
      </c>
      <c r="K126" s="1464" t="s">
        <v>315</v>
      </c>
      <c r="L126" s="1771">
        <v>5</v>
      </c>
      <c r="M126" s="1771">
        <v>10</v>
      </c>
      <c r="N126" s="1771">
        <v>10</v>
      </c>
    </row>
    <row r="127" spans="1:14" ht="25.15" customHeight="1" thickBot="1">
      <c r="A127" s="1341"/>
      <c r="B127" s="1158"/>
      <c r="C127" s="1095"/>
      <c r="D127" s="1095"/>
      <c r="E127" s="1095"/>
      <c r="F127" s="1086"/>
      <c r="G127" s="647" t="s">
        <v>98</v>
      </c>
      <c r="H127" s="671">
        <v>104</v>
      </c>
      <c r="I127" s="671">
        <v>42.8</v>
      </c>
      <c r="J127" s="671">
        <v>19.3</v>
      </c>
      <c r="K127" s="1261"/>
      <c r="L127" s="1349"/>
      <c r="M127" s="1349"/>
      <c r="N127" s="1349"/>
    </row>
    <row r="128" spans="1:14" ht="13.5" thickBot="1">
      <c r="A128" s="1341"/>
      <c r="B128" s="1158"/>
      <c r="C128" s="1259" t="s">
        <v>76</v>
      </c>
      <c r="D128" s="1315"/>
      <c r="E128" s="1315"/>
      <c r="F128" s="1315"/>
      <c r="G128" s="1316"/>
      <c r="H128" s="343">
        <f>H126+H127</f>
        <v>124.4</v>
      </c>
      <c r="I128" s="343">
        <f>I126+I127</f>
        <v>46</v>
      </c>
      <c r="J128" s="343">
        <f>J126+J127</f>
        <v>20.7</v>
      </c>
      <c r="K128" s="57"/>
      <c r="L128" s="57"/>
      <c r="M128" s="57"/>
      <c r="N128" s="98"/>
    </row>
    <row r="129" spans="1:14" ht="36.6" customHeight="1">
      <c r="A129" s="1341"/>
      <c r="B129" s="1158"/>
      <c r="C129" s="1506" t="s">
        <v>608</v>
      </c>
      <c r="D129" s="1077"/>
      <c r="E129" s="1077"/>
      <c r="F129" s="1560" t="s">
        <v>112</v>
      </c>
      <c r="G129" s="638" t="s">
        <v>79</v>
      </c>
      <c r="H129" s="643">
        <f>63</f>
        <v>63</v>
      </c>
      <c r="I129" s="643">
        <v>36.4</v>
      </c>
      <c r="J129" s="643">
        <v>8.8000000000000007</v>
      </c>
      <c r="K129" s="1507" t="s">
        <v>316</v>
      </c>
      <c r="L129" s="1515">
        <v>8</v>
      </c>
      <c r="M129" s="1772">
        <v>8</v>
      </c>
      <c r="N129" s="1773">
        <v>5</v>
      </c>
    </row>
    <row r="130" spans="1:14" ht="36.6" customHeight="1" thickBot="1">
      <c r="A130" s="1341"/>
      <c r="B130" s="1158"/>
      <c r="C130" s="1078"/>
      <c r="D130" s="1079"/>
      <c r="E130" s="1079"/>
      <c r="F130" s="1069"/>
      <c r="G130" s="665" t="s">
        <v>98</v>
      </c>
      <c r="H130" s="668">
        <v>706.2</v>
      </c>
      <c r="I130" s="668">
        <v>182.1</v>
      </c>
      <c r="J130" s="668">
        <v>44.1</v>
      </c>
      <c r="K130" s="1079"/>
      <c r="L130" s="1075"/>
      <c r="M130" s="1075"/>
      <c r="N130" s="1774"/>
    </row>
    <row r="131" spans="1:14" ht="13.5" thickBot="1">
      <c r="A131" s="1341"/>
      <c r="B131" s="1161"/>
      <c r="C131" s="1262" t="s">
        <v>76</v>
      </c>
      <c r="D131" s="1383"/>
      <c r="E131" s="1383"/>
      <c r="F131" s="1383"/>
      <c r="G131" s="1383"/>
      <c r="H131" s="366">
        <f>SUM(H129:H130)</f>
        <v>769.2</v>
      </c>
      <c r="I131" s="366">
        <f>SUM(I129:I130)</f>
        <v>218.5</v>
      </c>
      <c r="J131" s="366">
        <f>SUM(J129:J130)</f>
        <v>52.900000000000006</v>
      </c>
      <c r="K131" s="61"/>
      <c r="L131" s="61"/>
      <c r="M131" s="61"/>
      <c r="N131" s="468"/>
    </row>
    <row r="132" spans="1:14" ht="13.5" thickBot="1">
      <c r="A132" s="1780"/>
      <c r="B132" s="1126" t="s">
        <v>77</v>
      </c>
      <c r="C132" s="1367"/>
      <c r="D132" s="1367"/>
      <c r="E132" s="1367"/>
      <c r="F132" s="1367"/>
      <c r="G132" s="1367"/>
      <c r="H132" s="347">
        <f>H125+H128+H131</f>
        <v>908.6</v>
      </c>
      <c r="I132" s="351">
        <f>I125+I128+I131</f>
        <v>279.59000000000003</v>
      </c>
      <c r="J132" s="351">
        <f>J125+J128+J131</f>
        <v>88.780540000000002</v>
      </c>
      <c r="K132" s="227"/>
      <c r="L132" s="227"/>
      <c r="M132" s="227"/>
      <c r="N132" s="228"/>
    </row>
    <row r="133" spans="1:14" ht="13.5" thickBot="1">
      <c r="A133" s="1173" t="s">
        <v>203</v>
      </c>
      <c r="B133" s="1339"/>
      <c r="C133" s="1339"/>
      <c r="D133" s="1339"/>
      <c r="E133" s="1339"/>
      <c r="F133" s="1339"/>
      <c r="G133" s="1340"/>
      <c r="H133" s="348">
        <f>H132+H122</f>
        <v>1168.5999999999999</v>
      </c>
      <c r="I133" s="357">
        <f>I132+I122</f>
        <v>529.71</v>
      </c>
      <c r="J133" s="357">
        <f>J132+J122</f>
        <v>339.02125999999998</v>
      </c>
      <c r="K133" s="110"/>
      <c r="L133" s="110"/>
      <c r="M133" s="110"/>
      <c r="N133" s="111"/>
    </row>
    <row r="134" spans="1:14" s="4" customFormat="1" ht="13.5" thickBot="1">
      <c r="A134" s="1431" t="s">
        <v>8</v>
      </c>
      <c r="B134" s="1174"/>
      <c r="C134" s="1174"/>
      <c r="D134" s="1174"/>
      <c r="E134" s="1174"/>
      <c r="F134" s="1174"/>
      <c r="G134" s="1175"/>
      <c r="H134" s="361">
        <f>H36+H81+H103+H109+H113+H133</f>
        <v>5338.2999999999993</v>
      </c>
      <c r="I134" s="362">
        <f>I36+I81+I103+I109+I113+I133</f>
        <v>4422.93</v>
      </c>
      <c r="J134" s="362">
        <f>J36+J81+J103+J109+J113+J133</f>
        <v>4255.6005800000003</v>
      </c>
      <c r="K134" s="25"/>
      <c r="L134" s="25"/>
      <c r="M134" s="25"/>
      <c r="N134" s="29"/>
    </row>
    <row r="135" spans="1:14" s="4" customFormat="1" ht="10.5" customHeight="1">
      <c r="A135" s="30"/>
      <c r="B135" s="38"/>
      <c r="C135" s="38"/>
      <c r="D135" s="400"/>
      <c r="E135" s="13"/>
      <c r="F135" s="13" t="s">
        <v>4</v>
      </c>
      <c r="G135" s="13"/>
      <c r="H135" s="13"/>
      <c r="I135" s="21"/>
      <c r="J135" s="21"/>
      <c r="K135" s="21"/>
      <c r="L135" s="21"/>
      <c r="M135" s="21"/>
      <c r="N135" s="21"/>
    </row>
    <row r="136" spans="1:14" ht="10.5" customHeight="1">
      <c r="A136" s="15"/>
      <c r="B136" s="10"/>
      <c r="C136" s="31"/>
      <c r="D136" s="16"/>
      <c r="E136" s="17"/>
      <c r="F136" s="17"/>
      <c r="G136" s="26" t="s">
        <v>81</v>
      </c>
      <c r="H136" s="236">
        <f>SUMIF($G$8:$G$133,"SB",H$8:H$133)</f>
        <v>3840.4</v>
      </c>
      <c r="I136" s="148">
        <f>SUMIF($G$8:$G$133,"SB",I$8:I$133)</f>
        <v>3713.5137999999997</v>
      </c>
      <c r="J136" s="148">
        <f>SUMIF($G$8:$G$133,"SB",J$8:J$133)</f>
        <v>3705.8572827999997</v>
      </c>
      <c r="K136" s="148"/>
      <c r="L136" s="148"/>
      <c r="M136" s="148"/>
      <c r="N136" s="148"/>
    </row>
    <row r="137" spans="1:14" ht="10.5" customHeight="1">
      <c r="A137" s="15"/>
      <c r="B137" s="55"/>
      <c r="C137" s="20"/>
      <c r="D137" s="16"/>
      <c r="E137" s="17"/>
      <c r="F137" s="17"/>
      <c r="G137" s="26" t="s">
        <v>82</v>
      </c>
      <c r="H137" s="236">
        <f>SUMIF($G$8:$G$133,"VB-STD",H$8:H$133)</f>
        <v>269</v>
      </c>
      <c r="I137" s="148">
        <f>SUMIF($G$8:$G$133,"VB-STD",I$8:I$133)</f>
        <v>270.61400000000003</v>
      </c>
      <c r="J137" s="148">
        <f>SUMIF($G$8:$G$133,"VB-STD",J$8:J$133)</f>
        <v>272.237684</v>
      </c>
      <c r="K137" s="94"/>
      <c r="L137" s="94"/>
      <c r="M137" s="94"/>
      <c r="N137" s="94"/>
    </row>
    <row r="138" spans="1:14" ht="10.5" customHeight="1">
      <c r="A138" s="15"/>
      <c r="B138" s="55"/>
      <c r="C138" s="20"/>
      <c r="D138" s="7"/>
      <c r="E138" s="8"/>
      <c r="F138" s="8"/>
      <c r="G138" s="26" t="s">
        <v>83</v>
      </c>
      <c r="H138" s="236">
        <f>SUMIF($G$8:$G$133,"ES",H$8:H$133)</f>
        <v>1195.2</v>
      </c>
      <c r="I138" s="148">
        <f>SUMIF($G$8:$G$133,"ES",I$8:I$133)</f>
        <v>404.9</v>
      </c>
      <c r="J138" s="148">
        <f>SUMIF($G$8:$G$133,"ES",J$8:J$133)</f>
        <v>243.4</v>
      </c>
      <c r="K138" s="94"/>
      <c r="L138" s="94"/>
      <c r="M138" s="94"/>
      <c r="N138" s="94"/>
    </row>
    <row r="139" spans="1:14" ht="10.5" customHeight="1">
      <c r="A139" s="15"/>
      <c r="B139" s="55"/>
      <c r="C139" s="20"/>
      <c r="D139" s="7"/>
      <c r="E139" s="8"/>
      <c r="F139" s="8"/>
      <c r="G139" s="26" t="s">
        <v>84</v>
      </c>
      <c r="H139" s="236">
        <f>SUMIF($G$8:$G$133,"SAARS",H$8:H$133)</f>
        <v>0</v>
      </c>
      <c r="I139" s="148">
        <f>SUMIF($G$8:$G$133,"SAARS",I$8:I$133)</f>
        <v>0</v>
      </c>
      <c r="J139" s="148">
        <f>SUMIF($G$8:$G$133,"SAARS",J$8:J$133)</f>
        <v>0</v>
      </c>
      <c r="K139" s="94"/>
      <c r="L139" s="94"/>
      <c r="M139" s="94"/>
      <c r="N139" s="94"/>
    </row>
    <row r="140" spans="1:14" ht="10.5" customHeight="1">
      <c r="A140" s="15"/>
      <c r="B140" s="55"/>
      <c r="C140" s="20"/>
      <c r="D140" s="7"/>
      <c r="E140" s="8"/>
      <c r="F140" s="8"/>
      <c r="G140" s="26" t="s">
        <v>85</v>
      </c>
      <c r="H140" s="236">
        <f>SUMIF($G$8:$G$133,"KPPP",H$8:H$133)</f>
        <v>0</v>
      </c>
      <c r="I140" s="148">
        <f>SUMIF($G$8:$G$133,"KPPP",I$8:I$133)</f>
        <v>0</v>
      </c>
      <c r="J140" s="148">
        <f>SUMIF($G$8:$G$133,"KPPP",J$8:J$133)</f>
        <v>0</v>
      </c>
      <c r="K140" s="94"/>
      <c r="L140" s="94"/>
      <c r="M140" s="94"/>
      <c r="N140" s="94"/>
    </row>
    <row r="141" spans="1:14" ht="10.5" customHeight="1">
      <c r="A141" s="15"/>
      <c r="B141" s="55"/>
      <c r="C141" s="20"/>
      <c r="D141" s="7"/>
      <c r="E141" s="8"/>
      <c r="F141" s="8"/>
      <c r="G141" s="27" t="s">
        <v>86</v>
      </c>
      <c r="H141" s="236">
        <f>SUMIF($G$8:$G$133,"UF",H$8:H$133)</f>
        <v>0</v>
      </c>
      <c r="I141" s="148">
        <f>SUMIF($G$8:$G$133,"UF",I$8:I$133)</f>
        <v>0</v>
      </c>
      <c r="J141" s="148">
        <f>SUMIF($G$8:$G$133,"UF",J$8:J$133)</f>
        <v>0</v>
      </c>
      <c r="K141" s="94"/>
      <c r="L141" s="94"/>
      <c r="M141" s="94"/>
      <c r="N141" s="94"/>
    </row>
    <row r="142" spans="1:14" ht="10.5" customHeight="1">
      <c r="A142" s="15"/>
      <c r="B142" s="55"/>
      <c r="C142" s="20"/>
      <c r="D142" s="7"/>
      <c r="E142" s="8"/>
      <c r="F142" s="8"/>
      <c r="G142" s="26" t="s">
        <v>87</v>
      </c>
      <c r="H142" s="236">
        <f>SUMIF($G$8:$G$133,"VB",H$8:H$133)</f>
        <v>0</v>
      </c>
      <c r="I142" s="148">
        <f>SUMIF($G$8:$G$133,"VB",I$8:I$133)</f>
        <v>0</v>
      </c>
      <c r="J142" s="148">
        <f>SUMIF($G$8:$G$133,"VB",J$8:J$133)</f>
        <v>0</v>
      </c>
      <c r="K142" s="94"/>
      <c r="L142" s="94"/>
      <c r="M142" s="94"/>
      <c r="N142" s="94"/>
    </row>
    <row r="143" spans="1:14" ht="10.5" customHeight="1">
      <c r="A143" s="15"/>
      <c r="B143" s="55"/>
      <c r="C143" s="20"/>
      <c r="D143" s="7"/>
      <c r="E143" s="8"/>
      <c r="F143" s="8"/>
      <c r="G143" s="26" t="s">
        <v>88</v>
      </c>
      <c r="H143" s="236">
        <f>SUMIF($G$8:$G$133,"SL",H$8:H$133)</f>
        <v>0</v>
      </c>
      <c r="I143" s="148">
        <f>SUMIF($G$8:$G$133,"SL",I$8:I$133)</f>
        <v>0</v>
      </c>
      <c r="J143" s="148">
        <f>SUMIF($G$8:$G$133,"SL",J$8:J$133)</f>
        <v>0</v>
      </c>
      <c r="K143" s="94"/>
      <c r="L143" s="94"/>
      <c r="M143" s="94"/>
      <c r="N143" s="94"/>
    </row>
    <row r="144" spans="1:14" ht="10.5" customHeight="1">
      <c r="A144" s="24"/>
      <c r="B144" s="11"/>
      <c r="C144" s="23"/>
      <c r="D144" s="7"/>
      <c r="E144" s="8"/>
      <c r="F144" s="8"/>
      <c r="G144" s="26" t="s">
        <v>89</v>
      </c>
      <c r="H144" s="236">
        <f>SUMIF($G$8:$G$133,"PL",H$8:H$133)</f>
        <v>0</v>
      </c>
      <c r="I144" s="148">
        <f>SUMIF($G$8:$G$133,"PL",I$8:I$133)</f>
        <v>0</v>
      </c>
      <c r="J144" s="148">
        <f>SUMIF($G$8:$G$133,"PL",J$8:J$133)</f>
        <v>0</v>
      </c>
      <c r="K144" s="94"/>
      <c r="L144" s="94"/>
      <c r="M144" s="94"/>
      <c r="N144" s="94"/>
    </row>
    <row r="145" spans="1:15" ht="10.5" customHeight="1">
      <c r="A145" s="24"/>
      <c r="B145" s="11"/>
      <c r="C145" s="23"/>
      <c r="D145" s="16"/>
      <c r="E145" s="17"/>
      <c r="F145" s="17"/>
      <c r="G145" s="26" t="s">
        <v>90</v>
      </c>
      <c r="H145" s="236">
        <f>SUMIF($G$8:$G$133,"KL",H$8:H$133)</f>
        <v>0</v>
      </c>
      <c r="I145" s="148">
        <f>SUMIF($G$8:$G$133,"KL",I$8:I$133)</f>
        <v>0</v>
      </c>
      <c r="J145" s="148">
        <f>SUMIF($G$8:$G$133,"KL",J$8:J$133)</f>
        <v>0</v>
      </c>
      <c r="K145" s="148"/>
      <c r="L145" s="148"/>
      <c r="M145" s="148"/>
      <c r="N145" s="148"/>
    </row>
    <row r="146" spans="1:15" ht="13.5" customHeight="1">
      <c r="A146" s="15"/>
      <c r="B146" s="402"/>
      <c r="C146" s="403"/>
      <c r="D146" s="16"/>
      <c r="E146" s="17"/>
      <c r="F146" s="17"/>
      <c r="G146" s="26" t="s">
        <v>91</v>
      </c>
      <c r="H146" s="236">
        <f>SUMIF($G$8:$G$133,"TPP",H$8:H$133)</f>
        <v>33.700000000000003</v>
      </c>
      <c r="I146" s="148">
        <f>SUMIF($G$8:$G$133,"TPP",I$8:I$133)</f>
        <v>33.902200000000001</v>
      </c>
      <c r="J146" s="148">
        <f>SUMIF($G$8:$G$133,"TPP",J$8:J$133)</f>
        <v>34.105613200000001</v>
      </c>
      <c r="K146" s="94"/>
      <c r="L146" s="94"/>
      <c r="M146" s="94"/>
      <c r="N146" s="94"/>
    </row>
    <row r="147" spans="1:15" s="4" customFormat="1" ht="10.5" customHeight="1">
      <c r="A147" s="48"/>
      <c r="B147" s="5"/>
      <c r="C147" s="5"/>
      <c r="D147" s="5"/>
      <c r="E147" s="5"/>
      <c r="F147" s="5"/>
      <c r="G147" s="28" t="s">
        <v>8</v>
      </c>
      <c r="H147" s="404">
        <f>SUM(H136:H146)</f>
        <v>5338.2999999999993</v>
      </c>
      <c r="I147" s="404">
        <f>SUM(I136:I146)</f>
        <v>4422.93</v>
      </c>
      <c r="J147" s="404">
        <f>SUM(J136:J146)</f>
        <v>4255.6005800000003</v>
      </c>
      <c r="K147" s="49"/>
      <c r="L147" s="49"/>
      <c r="M147" s="399"/>
      <c r="N147" s="399"/>
      <c r="O147" s="400"/>
    </row>
    <row r="148" spans="1:15" s="4" customFormat="1">
      <c r="A148" s="48"/>
      <c r="B148" s="19"/>
      <c r="C148" s="19"/>
      <c r="D148" s="19"/>
      <c r="E148" s="19"/>
      <c r="F148" s="19"/>
      <c r="G148" s="5"/>
      <c r="H148" s="52"/>
      <c r="I148" s="52"/>
      <c r="J148" s="52"/>
      <c r="M148" s="401"/>
      <c r="N148" s="400"/>
      <c r="O148" s="400"/>
    </row>
    <row r="149" spans="1:15" s="4" customFormat="1">
      <c r="A149" s="53"/>
      <c r="B149" s="19"/>
      <c r="C149" s="19"/>
      <c r="D149" s="19"/>
      <c r="E149" s="19"/>
      <c r="F149" s="19"/>
      <c r="G149" s="5"/>
      <c r="H149" s="5"/>
      <c r="M149" s="400"/>
      <c r="N149" s="400"/>
      <c r="O149" s="400"/>
    </row>
    <row r="150" spans="1:15" s="4" customFormat="1">
      <c r="A150" s="53"/>
      <c r="B150" s="19"/>
      <c r="C150" s="19"/>
      <c r="D150" s="19"/>
      <c r="E150" s="19"/>
      <c r="F150" s="19"/>
      <c r="G150" s="5"/>
      <c r="H150" s="5"/>
    </row>
    <row r="151" spans="1:15" s="4" customFormat="1">
      <c r="A151" s="53"/>
      <c r="B151" s="19"/>
      <c r="C151" s="19"/>
      <c r="D151" s="19"/>
      <c r="E151" s="19"/>
      <c r="F151" s="19"/>
      <c r="G151" s="5"/>
      <c r="H151" s="5"/>
    </row>
    <row r="152" spans="1:15" s="4" customFormat="1">
      <c r="A152" s="53"/>
      <c r="B152" s="19"/>
      <c r="C152" s="19"/>
      <c r="D152" s="19"/>
      <c r="E152" s="19"/>
      <c r="F152" s="19"/>
      <c r="G152" s="5"/>
      <c r="H152" s="5"/>
    </row>
    <row r="153" spans="1:15" s="4" customFormat="1">
      <c r="A153" s="53"/>
      <c r="B153" s="19"/>
      <c r="C153" s="19"/>
      <c r="D153" s="19"/>
      <c r="E153" s="19"/>
      <c r="F153" s="19"/>
      <c r="G153" s="5"/>
      <c r="H153" s="5"/>
    </row>
    <row r="154" spans="1:15" s="4" customFormat="1">
      <c r="A154" s="53"/>
      <c r="B154" s="19"/>
      <c r="C154" s="19"/>
      <c r="D154" s="19"/>
      <c r="E154" s="19"/>
      <c r="F154" s="19"/>
      <c r="G154" s="5"/>
      <c r="H154" s="5"/>
    </row>
    <row r="155" spans="1:15" s="4" customFormat="1">
      <c r="A155" s="53"/>
      <c r="B155" s="19"/>
      <c r="C155" s="19"/>
      <c r="D155" s="19"/>
      <c r="E155" s="19"/>
      <c r="F155" s="19"/>
      <c r="G155" s="5"/>
      <c r="H155" s="5"/>
    </row>
    <row r="156" spans="1:15" s="4" customFormat="1">
      <c r="A156" s="53"/>
      <c r="B156" s="19"/>
      <c r="C156" s="19"/>
      <c r="D156" s="19"/>
      <c r="E156" s="19"/>
      <c r="F156" s="19"/>
      <c r="G156" s="5"/>
      <c r="H156" s="5"/>
    </row>
  </sheetData>
  <mergeCells count="206">
    <mergeCell ref="G6:G8"/>
    <mergeCell ref="H6:H8"/>
    <mergeCell ref="I6:I8"/>
    <mergeCell ref="F9:F10"/>
    <mergeCell ref="G9:G10"/>
    <mergeCell ref="B9:B34"/>
    <mergeCell ref="A3:J3"/>
    <mergeCell ref="K3:L3"/>
    <mergeCell ref="A113:G113"/>
    <mergeCell ref="C87:E90"/>
    <mergeCell ref="F87:F90"/>
    <mergeCell ref="G87:G90"/>
    <mergeCell ref="B92:G92"/>
    <mergeCell ref="C93:E93"/>
    <mergeCell ref="B108:G108"/>
    <mergeCell ref="C110:E110"/>
    <mergeCell ref="A104:A108"/>
    <mergeCell ref="A109:G109"/>
    <mergeCell ref="C111:G111"/>
    <mergeCell ref="B110:B111"/>
    <mergeCell ref="C96:G96"/>
    <mergeCell ref="B93:B96"/>
    <mergeCell ref="C95:E95"/>
    <mergeCell ref="K6:N6"/>
    <mergeCell ref="K7:K8"/>
    <mergeCell ref="L7:N7"/>
    <mergeCell ref="F6:F8"/>
    <mergeCell ref="C12:E14"/>
    <mergeCell ref="C34:G34"/>
    <mergeCell ref="C37:E41"/>
    <mergeCell ref="J6:J8"/>
    <mergeCell ref="K64:K65"/>
    <mergeCell ref="L64:L65"/>
    <mergeCell ref="M64:M65"/>
    <mergeCell ref="N64:N65"/>
    <mergeCell ref="C44:G44"/>
    <mergeCell ref="H12:H14"/>
    <mergeCell ref="I12:I14"/>
    <mergeCell ref="J12:J14"/>
    <mergeCell ref="B35:G35"/>
    <mergeCell ref="I59:I60"/>
    <mergeCell ref="J59:J60"/>
    <mergeCell ref="C55:E55"/>
    <mergeCell ref="H9:H10"/>
    <mergeCell ref="I9:I10"/>
    <mergeCell ref="C59:E60"/>
    <mergeCell ref="J9:J10"/>
    <mergeCell ref="C45:E45"/>
    <mergeCell ref="C9:E10"/>
    <mergeCell ref="F64:F66"/>
    <mergeCell ref="G64:G66"/>
    <mergeCell ref="C23:E29"/>
    <mergeCell ref="C30:G30"/>
    <mergeCell ref="C73:G73"/>
    <mergeCell ref="C74:E74"/>
    <mergeCell ref="C75:G75"/>
    <mergeCell ref="C76:E76"/>
    <mergeCell ref="F47:F49"/>
    <mergeCell ref="F51:F53"/>
    <mergeCell ref="C50:G50"/>
    <mergeCell ref="C51:E53"/>
    <mergeCell ref="C63:G63"/>
    <mergeCell ref="C43:E43"/>
    <mergeCell ref="C46:G46"/>
    <mergeCell ref="A6:A8"/>
    <mergeCell ref="B6:B8"/>
    <mergeCell ref="C6:C8"/>
    <mergeCell ref="D6:D8"/>
    <mergeCell ref="E6:E8"/>
    <mergeCell ref="C16:E19"/>
    <mergeCell ref="C11:G11"/>
    <mergeCell ref="C71:G71"/>
    <mergeCell ref="C72:E72"/>
    <mergeCell ref="C42:G42"/>
    <mergeCell ref="C31:E33"/>
    <mergeCell ref="C15:G15"/>
    <mergeCell ref="F12:F14"/>
    <mergeCell ref="G12:G14"/>
    <mergeCell ref="A36:G36"/>
    <mergeCell ref="F37:F41"/>
    <mergeCell ref="G37:G41"/>
    <mergeCell ref="C64:E66"/>
    <mergeCell ref="C67:G67"/>
    <mergeCell ref="A9:A35"/>
    <mergeCell ref="C54:G54"/>
    <mergeCell ref="C56:G56"/>
    <mergeCell ref="C57:E57"/>
    <mergeCell ref="C58:G58"/>
    <mergeCell ref="A133:G133"/>
    <mergeCell ref="A134:G134"/>
    <mergeCell ref="C125:G125"/>
    <mergeCell ref="C131:G131"/>
    <mergeCell ref="B124:B131"/>
    <mergeCell ref="B132:G132"/>
    <mergeCell ref="C119:G119"/>
    <mergeCell ref="B122:G122"/>
    <mergeCell ref="A114:A122"/>
    <mergeCell ref="A124:A132"/>
    <mergeCell ref="C128:G128"/>
    <mergeCell ref="C124:E124"/>
    <mergeCell ref="C114:E115"/>
    <mergeCell ref="F114:F115"/>
    <mergeCell ref="A123:G123"/>
    <mergeCell ref="C126:E127"/>
    <mergeCell ref="F126:F127"/>
    <mergeCell ref="I37:I41"/>
    <mergeCell ref="J37:J41"/>
    <mergeCell ref="F23:F29"/>
    <mergeCell ref="G23:G29"/>
    <mergeCell ref="H23:H29"/>
    <mergeCell ref="I23:I29"/>
    <mergeCell ref="J23:J29"/>
    <mergeCell ref="F17:F19"/>
    <mergeCell ref="G17:G19"/>
    <mergeCell ref="H17:H19"/>
    <mergeCell ref="I17:I19"/>
    <mergeCell ref="J17:J19"/>
    <mergeCell ref="F31:F32"/>
    <mergeCell ref="G31:G32"/>
    <mergeCell ref="H31:H32"/>
    <mergeCell ref="I31:I32"/>
    <mergeCell ref="J31:J32"/>
    <mergeCell ref="C20:G20"/>
    <mergeCell ref="H37:H41"/>
    <mergeCell ref="C21:E21"/>
    <mergeCell ref="C22:G22"/>
    <mergeCell ref="J82:J83"/>
    <mergeCell ref="A81:G81"/>
    <mergeCell ref="B82:B91"/>
    <mergeCell ref="C85:E85"/>
    <mergeCell ref="C86:G86"/>
    <mergeCell ref="C91:G91"/>
    <mergeCell ref="F82:F83"/>
    <mergeCell ref="G82:G83"/>
    <mergeCell ref="H82:H83"/>
    <mergeCell ref="C82:E83"/>
    <mergeCell ref="C84:G84"/>
    <mergeCell ref="H87:H90"/>
    <mergeCell ref="A82:A102"/>
    <mergeCell ref="C94:G94"/>
    <mergeCell ref="B97:G97"/>
    <mergeCell ref="H47:H49"/>
    <mergeCell ref="C62:E62"/>
    <mergeCell ref="C101:G101"/>
    <mergeCell ref="B102:G102"/>
    <mergeCell ref="C105:G105"/>
    <mergeCell ref="B80:G80"/>
    <mergeCell ref="H64:H66"/>
    <mergeCell ref="I64:I66"/>
    <mergeCell ref="J64:J66"/>
    <mergeCell ref="H59:H60"/>
    <mergeCell ref="C47:E49"/>
    <mergeCell ref="C77:G77"/>
    <mergeCell ref="G47:G49"/>
    <mergeCell ref="C68:E68"/>
    <mergeCell ref="G51:G53"/>
    <mergeCell ref="J51:J53"/>
    <mergeCell ref="I87:I90"/>
    <mergeCell ref="J87:J90"/>
    <mergeCell ref="C69:G69"/>
    <mergeCell ref="I47:I49"/>
    <mergeCell ref="J47:J49"/>
    <mergeCell ref="H51:H53"/>
    <mergeCell ref="I51:I53"/>
    <mergeCell ref="I82:I83"/>
    <mergeCell ref="L114:L115"/>
    <mergeCell ref="M114:M115"/>
    <mergeCell ref="N114:N115"/>
    <mergeCell ref="C117:E118"/>
    <mergeCell ref="F117:F118"/>
    <mergeCell ref="G117:G118"/>
    <mergeCell ref="H117:H118"/>
    <mergeCell ref="I117:I118"/>
    <mergeCell ref="J117:J118"/>
    <mergeCell ref="K114:K115"/>
    <mergeCell ref="C116:G116"/>
    <mergeCell ref="A37:A80"/>
    <mergeCell ref="C78:E78"/>
    <mergeCell ref="C79:G79"/>
    <mergeCell ref="B37:B78"/>
    <mergeCell ref="C100:E100"/>
    <mergeCell ref="B114:B121"/>
    <mergeCell ref="C120:E120"/>
    <mergeCell ref="C121:G121"/>
    <mergeCell ref="B112:G112"/>
    <mergeCell ref="C107:G107"/>
    <mergeCell ref="B104:B107"/>
    <mergeCell ref="B98:B101"/>
    <mergeCell ref="A103:G103"/>
    <mergeCell ref="C99:G99"/>
    <mergeCell ref="C98:E98"/>
    <mergeCell ref="A110:A112"/>
    <mergeCell ref="C61:G61"/>
    <mergeCell ref="F59:F60"/>
    <mergeCell ref="G59:G60"/>
    <mergeCell ref="C70:E70"/>
    <mergeCell ref="K126:K127"/>
    <mergeCell ref="L126:L127"/>
    <mergeCell ref="M126:M127"/>
    <mergeCell ref="N126:N127"/>
    <mergeCell ref="K129:K130"/>
    <mergeCell ref="L129:L130"/>
    <mergeCell ref="M129:M130"/>
    <mergeCell ref="N129:N130"/>
    <mergeCell ref="C129:E130"/>
    <mergeCell ref="F129:F130"/>
  </mergeCells>
  <phoneticPr fontId="6" type="noConversion"/>
  <pageMargins left="0.39370078740157483" right="0.39370078740157483" top="0.59055118110236227" bottom="0.39370078740157483" header="0" footer="0"/>
  <pageSetup paperSize="9" scale="95" fitToHeight="0" orientation="landscape" r:id="rId1"/>
  <headerFooter alignWithMargins="0">
    <oddHeader>&amp;C8.1.-&amp;P</oddHeader>
  </headerFooter>
  <rowBreaks count="3" manualBreakCount="3">
    <brk id="81" max="13" man="1"/>
    <brk id="105" max="13" man="1"/>
    <brk id="125" max="13" man="1"/>
  </rowBreaks>
  <ignoredErrors>
    <ignoredError sqref="I99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9"/>
  <sheetViews>
    <sheetView zoomScaleNormal="100" zoomScaleSheetLayoutView="110" workbookViewId="0">
      <selection activeCell="B7" sqref="B7"/>
    </sheetView>
  </sheetViews>
  <sheetFormatPr defaultColWidth="8.85546875" defaultRowHeight="12.75"/>
  <cols>
    <col min="1" max="1" width="28.140625" style="882" customWidth="1"/>
    <col min="2" max="3" width="12.7109375" style="882" customWidth="1"/>
    <col min="4" max="4" width="14.5703125" style="882" customWidth="1"/>
    <col min="5" max="5" width="12.7109375" style="882" customWidth="1"/>
    <col min="6" max="6" width="9.85546875" style="882" customWidth="1"/>
    <col min="7" max="7" width="15" style="882" customWidth="1"/>
    <col min="8" max="16384" width="8.85546875" style="882"/>
  </cols>
  <sheetData>
    <row r="1" spans="1:9" ht="15.75">
      <c r="A1" s="889" t="s">
        <v>6</v>
      </c>
      <c r="F1" s="882" t="s">
        <v>28</v>
      </c>
    </row>
    <row r="2" spans="1:9" ht="13.5" thickBot="1"/>
    <row r="3" spans="1:9" ht="12.75" customHeight="1">
      <c r="A3" s="1820" t="s">
        <v>30</v>
      </c>
      <c r="B3" s="1822" t="s">
        <v>442</v>
      </c>
      <c r="C3" s="1831" t="s">
        <v>443</v>
      </c>
      <c r="D3" s="1827" t="s">
        <v>389</v>
      </c>
      <c r="E3" s="1829" t="s">
        <v>444</v>
      </c>
      <c r="G3" s="1824" t="s">
        <v>754</v>
      </c>
    </row>
    <row r="4" spans="1:9">
      <c r="A4" s="1821"/>
      <c r="B4" s="1823"/>
      <c r="C4" s="1832"/>
      <c r="D4" s="1828"/>
      <c r="E4" s="1830"/>
      <c r="G4" s="1825"/>
    </row>
    <row r="5" spans="1:9" ht="12" customHeight="1">
      <c r="A5" s="1821"/>
      <c r="B5" s="1823"/>
      <c r="C5" s="1832"/>
      <c r="D5" s="1828"/>
      <c r="E5" s="1830"/>
      <c r="G5" s="1825"/>
    </row>
    <row r="6" spans="1:9">
      <c r="A6" s="1821"/>
      <c r="B6" s="1823"/>
      <c r="C6" s="1833"/>
      <c r="D6" s="1828"/>
      <c r="E6" s="1830"/>
      <c r="G6" s="1826"/>
    </row>
    <row r="7" spans="1:9" ht="25.5" customHeight="1">
      <c r="A7" s="890" t="s">
        <v>51</v>
      </c>
      <c r="B7" s="891">
        <f>'1-1b'!B2+'2-1b'!B2+'3-1b'!B2+'4-1b'!B2+'5-1b'!B2+'6-1b'!B2+'7-1b'!B2+'8-1b'!B2</f>
        <v>62879.799999999996</v>
      </c>
      <c r="C7" s="891">
        <f>'1-1b'!C2+'2-1b'!C2+'3-1b'!C2+'4-1b'!C2+'5-1b'!C2+'6-1b'!C2+'7-1b'!C2+'8-1b'!C2</f>
        <v>62752.399999999994</v>
      </c>
      <c r="D7" s="891">
        <f>'1-1b'!D2+'2-1b'!D2+'3-1b'!D2+'4-1b'!D2+'5-1b'!D2+'6-1b'!D2+'7-1b'!D2+'8-1b'!D2</f>
        <v>54874.292999999998</v>
      </c>
      <c r="E7" s="1018">
        <f>'1-1b'!E2+'2-1b'!E2+'3-1b'!E2+'4-1b'!E2+'5-1b'!E2+'6-1b'!E2+'7-1b'!E2+'8-1b'!E2</f>
        <v>52827.088313199994</v>
      </c>
      <c r="G7" s="892">
        <f t="shared" ref="G7:G19" si="0">(C7-B7)/B7</f>
        <v>-2.0260878692362487E-3</v>
      </c>
    </row>
    <row r="8" spans="1:9" ht="25.5" customHeight="1">
      <c r="A8" s="893" t="s">
        <v>32</v>
      </c>
      <c r="B8" s="891">
        <f>'1-1b'!B3+'2-1b'!B3+'3-1b'!B3+'4-1b'!B3+'5-1b'!B3+'6-1b'!B3+'7-1b'!B3+'8-1b'!B3</f>
        <v>62879.799999999996</v>
      </c>
      <c r="C8" s="891">
        <f>'1-1b'!C3+'2-1b'!C3+'3-1b'!C3+'4-1b'!C3+'5-1b'!C3+'6-1b'!C3+'7-1b'!C3+'8-1b'!C3</f>
        <v>62752.399999999994</v>
      </c>
      <c r="D8" s="891">
        <f>'1-1b'!D3+'2-1b'!D3+'3-1b'!D3+'4-1b'!D3+'5-1b'!D3+'6-1b'!D3+'7-1b'!D3+'8-1b'!D3</f>
        <v>54874.293000000005</v>
      </c>
      <c r="E8" s="1018">
        <f>'1-1b'!E3+'2-1b'!E3+'3-1b'!E3+'4-1b'!E3+'5-1b'!E3+'6-1b'!E3+'7-1b'!E3+'8-1b'!E3</f>
        <v>52827.088313199994</v>
      </c>
      <c r="G8" s="892">
        <f t="shared" si="0"/>
        <v>-2.0260878692362487E-3</v>
      </c>
      <c r="I8" s="894"/>
    </row>
    <row r="9" spans="1:9">
      <c r="A9" s="895" t="s">
        <v>161</v>
      </c>
      <c r="B9" s="891">
        <f>'1-1b'!B4+'2-1b'!B4+'3-1b'!B4+'4-1b'!B4+'5-1b'!B4+'6-1b'!B4+'7-1b'!B4+'8-1b'!B4</f>
        <v>29170.5</v>
      </c>
      <c r="C9" s="891">
        <f>'1-1b'!C4+'2-1b'!C4+'3-1b'!C4+'4-1b'!C4+'5-1b'!C4+'6-1b'!C4+'7-1b'!C4+'8-1b'!C4</f>
        <v>28820.900000000005</v>
      </c>
      <c r="D9" s="891">
        <f>'1-1b'!D4+'2-1b'!D4+'3-1b'!D4+'4-1b'!D4+'5-1b'!D4+'6-1b'!D4+'7-1b'!D4+'8-1b'!D4</f>
        <v>27088.005000000005</v>
      </c>
      <c r="E9" s="1018">
        <f>'1-1b'!E4+'2-1b'!E4+'3-1b'!E4+'4-1b'!E4+'5-1b'!E4+'6-1b'!E4+'7-1b'!E4+'8-1b'!E4</f>
        <v>25711.59203</v>
      </c>
      <c r="G9" s="896">
        <f t="shared" si="0"/>
        <v>-1.1984710580894908E-2</v>
      </c>
      <c r="I9" s="894"/>
    </row>
    <row r="10" spans="1:9" ht="24">
      <c r="A10" s="895" t="s">
        <v>151</v>
      </c>
      <c r="B10" s="891">
        <f>'1-1b'!B5+'2-1b'!B5+'3-1b'!B5+'4-1b'!B5+'5-1b'!B5+'6-1b'!B5+'7-1b'!B5+'8-1b'!B5</f>
        <v>11838.6</v>
      </c>
      <c r="C10" s="891">
        <f>'1-1b'!C5+'2-1b'!C5+'3-1b'!C5+'4-1b'!C5+'5-1b'!C5+'6-1b'!C5+'7-1b'!C5+'8-1b'!C5</f>
        <v>13414.1</v>
      </c>
      <c r="D10" s="891">
        <f>'1-1b'!D5+'2-1b'!D5+'3-1b'!D5+'4-1b'!D5+'5-1b'!D5+'6-1b'!D5+'7-1b'!D5+'8-1b'!D5</f>
        <v>13298.042800000001</v>
      </c>
      <c r="E10" s="1018">
        <f>'1-1b'!E5+'2-1b'!E5+'3-1b'!E5+'4-1b'!E5+'5-1b'!E5+'6-1b'!E5+'7-1b'!E5+'8-1b'!E5</f>
        <v>13407.223971999996</v>
      </c>
      <c r="G10" s="896">
        <f t="shared" si="0"/>
        <v>0.13308161438007873</v>
      </c>
    </row>
    <row r="11" spans="1:9" ht="24">
      <c r="A11" s="895" t="s">
        <v>152</v>
      </c>
      <c r="B11" s="891">
        <f>'1-1b'!B6+'2-1b'!B6+'3-1b'!B6+'4-1b'!B6+'5-1b'!B6+'6-1b'!B6+'7-1b'!B6+'8-1b'!B6</f>
        <v>5459.4000000000005</v>
      </c>
      <c r="C11" s="891">
        <f>'1-1b'!C6+'2-1b'!C6+'3-1b'!C6+'4-1b'!C6+'5-1b'!C6+'6-1b'!C6+'7-1b'!C6+'8-1b'!C6</f>
        <v>6062.7</v>
      </c>
      <c r="D11" s="891">
        <f>'1-1b'!D6+'2-1b'!D6+'3-1b'!D6+'4-1b'!D6+'5-1b'!D6+'6-1b'!D6+'7-1b'!D6+'8-1b'!D6</f>
        <v>1865.0246000000002</v>
      </c>
      <c r="E11" s="1018">
        <f>'1-1b'!E6+'2-1b'!E6+'3-1b'!E6+'4-1b'!E6+'5-1b'!E6+'6-1b'!E6+'7-1b'!E6+'8-1b'!E6</f>
        <v>892.25654759999998</v>
      </c>
      <c r="G11" s="896">
        <f t="shared" si="0"/>
        <v>0.1105066490823166</v>
      </c>
    </row>
    <row r="12" spans="1:9" ht="24">
      <c r="A12" s="895" t="s">
        <v>153</v>
      </c>
      <c r="B12" s="891">
        <f>'1-1b'!B7+'2-1b'!B7+'3-1b'!B7+'4-1b'!B7+'5-1b'!B7+'6-1b'!B7+'7-1b'!B7+'8-1b'!B7</f>
        <v>553.5</v>
      </c>
      <c r="C12" s="891">
        <f>'1-1b'!C7+'2-1b'!C7+'3-1b'!C7+'4-1b'!C7+'5-1b'!C7+'6-1b'!C7+'7-1b'!C7+'8-1b'!C7</f>
        <v>475.40000000000003</v>
      </c>
      <c r="D12" s="891">
        <f>'1-1b'!D7+'2-1b'!D7+'3-1b'!D7+'4-1b'!D7+'5-1b'!D7+'6-1b'!D7+'7-1b'!D7+'8-1b'!D7</f>
        <v>457.49279999999999</v>
      </c>
      <c r="E12" s="1018">
        <f>'1-1b'!E7+'2-1b'!E7+'3-1b'!E7+'4-1b'!E7+'5-1b'!E7+'6-1b'!E7+'7-1b'!E7+'8-1b'!E7</f>
        <v>459.59815680000003</v>
      </c>
      <c r="G12" s="896">
        <f t="shared" si="0"/>
        <v>-0.14110207768744348</v>
      </c>
    </row>
    <row r="13" spans="1:9" ht="24">
      <c r="A13" s="895" t="s">
        <v>154</v>
      </c>
      <c r="B13" s="891">
        <f>'1-1b'!B8+'2-1b'!B8+'3-1b'!B8+'4-1b'!B8+'5-1b'!B8+'6-1b'!B8+'7-1b'!B8+'8-1b'!B8</f>
        <v>2131.5</v>
      </c>
      <c r="C13" s="891">
        <f>'1-1b'!C8+'2-1b'!C8+'3-1b'!C8+'4-1b'!C8+'5-1b'!C8+'6-1b'!C8+'7-1b'!C8+'8-1b'!C8</f>
        <v>990.59999999999991</v>
      </c>
      <c r="D13" s="891">
        <f>'1-1b'!D8+'2-1b'!D8+'3-1b'!D8+'4-1b'!D8+'5-1b'!D8+'6-1b'!D8+'7-1b'!D8+'8-1b'!D8</f>
        <v>650.66</v>
      </c>
      <c r="E13" s="1018">
        <f>'1-1b'!E8+'2-1b'!E8+'3-1b'!E8+'4-1b'!E8+'5-1b'!E8+'6-1b'!E8+'7-1b'!E8+'8-1b'!E8</f>
        <v>464.3</v>
      </c>
      <c r="G13" s="896">
        <f t="shared" si="0"/>
        <v>-0.53525686136523576</v>
      </c>
    </row>
    <row r="14" spans="1:9">
      <c r="A14" s="895" t="s">
        <v>155</v>
      </c>
      <c r="B14" s="891">
        <f>'1-1b'!B9+'2-1b'!B9+'3-1b'!B9+'4-1b'!B9+'5-1b'!B9+'6-1b'!B9+'7-1b'!B9+'8-1b'!B9</f>
        <v>64.5</v>
      </c>
      <c r="C14" s="891">
        <f>'1-1b'!C9+'2-1b'!C9+'3-1b'!C9+'4-1b'!C9+'5-1b'!C9+'6-1b'!C9+'7-1b'!C9+'8-1b'!C9</f>
        <v>0</v>
      </c>
      <c r="D14" s="891">
        <f>'1-1b'!D9+'2-1b'!D9+'3-1b'!D9+'4-1b'!D9+'5-1b'!D9+'6-1b'!D9+'7-1b'!D9+'8-1b'!D9</f>
        <v>0</v>
      </c>
      <c r="E14" s="1018">
        <f>'1-1b'!E9+'2-1b'!E9+'3-1b'!E9+'4-1b'!E9+'5-1b'!E9+'6-1b'!E9+'7-1b'!E9+'8-1b'!E9</f>
        <v>0</v>
      </c>
      <c r="G14" s="896">
        <f t="shared" si="0"/>
        <v>-1</v>
      </c>
    </row>
    <row r="15" spans="1:9" ht="24">
      <c r="A15" s="895" t="s">
        <v>156</v>
      </c>
      <c r="B15" s="891">
        <f>'1-1b'!B10+'2-1b'!B10+'3-1b'!B10+'4-1b'!B10+'5-1b'!B10+'6-1b'!B10+'7-1b'!B10+'8-1b'!B10</f>
        <v>12449.8</v>
      </c>
      <c r="C15" s="891">
        <f>'1-1b'!C10+'2-1b'!C10+'3-1b'!C10+'4-1b'!C10+'5-1b'!C10+'6-1b'!C10+'7-1b'!C10+'8-1b'!C10</f>
        <v>11302.5</v>
      </c>
      <c r="D15" s="891">
        <f>'1-1b'!D10+'2-1b'!D10+'3-1b'!D10+'4-1b'!D10+'5-1b'!D10+'6-1b'!D10+'7-1b'!D10+'8-1b'!D10</f>
        <v>9812.3239999999987</v>
      </c>
      <c r="E15" s="1018">
        <f>'1-1b'!E10+'2-1b'!E10+'3-1b'!E10+'4-1b'!E10+'5-1b'!E10+'6-1b'!E10+'7-1b'!E10+'8-1b'!E10</f>
        <v>10206.672144</v>
      </c>
      <c r="G15" s="896">
        <f t="shared" si="0"/>
        <v>-9.2154090828768284E-2</v>
      </c>
    </row>
    <row r="16" spans="1:9" ht="12" customHeight="1">
      <c r="A16" s="895" t="s">
        <v>157</v>
      </c>
      <c r="B16" s="891">
        <f>'1-1b'!B11+'2-1b'!B11+'3-1b'!B11+'4-1b'!B11+'5-1b'!B11+'6-1b'!B11+'7-1b'!B11+'8-1b'!B11</f>
        <v>0</v>
      </c>
      <c r="C16" s="891">
        <f>'1-1b'!C11+'2-1b'!C11+'3-1b'!C11+'4-1b'!C11+'5-1b'!C11+'6-1b'!C11+'7-1b'!C11+'8-1b'!C11</f>
        <v>0</v>
      </c>
      <c r="D16" s="891">
        <f>'1-1b'!D11+'2-1b'!D11+'3-1b'!D11+'4-1b'!D11+'5-1b'!D11+'6-1b'!D11+'7-1b'!D11+'8-1b'!D11</f>
        <v>0</v>
      </c>
      <c r="E16" s="1018">
        <f>'1-1b'!E11+'2-1b'!E11+'3-1b'!E11+'4-1b'!E11+'5-1b'!E11+'6-1b'!E11+'7-1b'!E11+'8-1b'!E11</f>
        <v>0</v>
      </c>
      <c r="G16" s="899" t="s">
        <v>755</v>
      </c>
    </row>
    <row r="17" spans="1:7" ht="0.75" hidden="1" customHeight="1">
      <c r="A17" s="895" t="s">
        <v>158</v>
      </c>
      <c r="B17" s="891">
        <f>'1-1b'!B12+'2-1b'!B12+'3-1b'!B12+'4-1b'!B12+'5-1b'!B12+'6-1b'!B12+'7-1b'!B12+'8-1b'!B12</f>
        <v>0</v>
      </c>
      <c r="C17" s="891">
        <f>'1-1b'!C12+'2-1b'!C12+'3-1b'!C12+'4-1b'!C12+'5-1b'!C12+'6-1b'!C12+'7-1b'!C12+'8-1b'!C12</f>
        <v>0</v>
      </c>
      <c r="D17" s="891">
        <f>'1-1b'!D12+'2-1b'!D12+'3-1b'!D12+'4-1b'!D12+'5-1b'!D12+'6-1b'!D12+'7-1b'!D12+'8-1b'!D12</f>
        <v>0</v>
      </c>
      <c r="E17" s="1018">
        <f>'1-1b'!E12+'2-1b'!E12+'3-1b'!E12+'4-1b'!E12+'5-1b'!E12+'6-1b'!E12+'7-1b'!E12+'8-1b'!E12</f>
        <v>0</v>
      </c>
      <c r="G17" s="896" t="e">
        <f t="shared" si="0"/>
        <v>#DIV/0!</v>
      </c>
    </row>
    <row r="18" spans="1:7">
      <c r="A18" s="895" t="s">
        <v>159</v>
      </c>
      <c r="B18" s="891">
        <f>'1-1b'!B13+'2-1b'!B13+'3-1b'!B13+'4-1b'!B13+'5-1b'!B13+'6-1b'!B13+'7-1b'!B13+'8-1b'!B13</f>
        <v>10</v>
      </c>
      <c r="C18" s="891">
        <f>'1-1b'!C13+'2-1b'!C13+'3-1b'!C13+'4-1b'!C13+'5-1b'!C13+'6-1b'!C13+'7-1b'!C13+'8-1b'!C13</f>
        <v>30</v>
      </c>
      <c r="D18" s="891">
        <f>'1-1b'!D13+'2-1b'!D13+'3-1b'!D13+'4-1b'!D13+'5-1b'!D13+'6-1b'!D13+'7-1b'!D13+'8-1b'!D13</f>
        <v>37</v>
      </c>
      <c r="E18" s="1018">
        <f>'1-1b'!E13+'2-1b'!E13+'3-1b'!E13+'4-1b'!E13+'5-1b'!E13+'6-1b'!E13+'7-1b'!E13+'8-1b'!E13</f>
        <v>10</v>
      </c>
      <c r="G18" s="896">
        <f t="shared" si="0"/>
        <v>2</v>
      </c>
    </row>
    <row r="19" spans="1:7" ht="13.5" thickBot="1">
      <c r="A19" s="897" t="s">
        <v>160</v>
      </c>
      <c r="B19" s="1019">
        <f>'1-1b'!B14+'2-1b'!B14+'3-1b'!B14+'4-1b'!B14+'5-1b'!B14+'6-1b'!B14+'7-1b'!B14+'8-1b'!B14</f>
        <v>1202</v>
      </c>
      <c r="C19" s="1019">
        <f>'1-1b'!C14+'2-1b'!C14+'3-1b'!C14+'4-1b'!C14+'5-1b'!C14+'6-1b'!C14+'7-1b'!C14+'8-1b'!C14</f>
        <v>1656.2</v>
      </c>
      <c r="D19" s="1019">
        <f>'1-1b'!D14+'2-1b'!D14+'3-1b'!D14+'4-1b'!D14+'5-1b'!D14+'6-1b'!D14+'7-1b'!D14+'8-1b'!D14</f>
        <v>1665.7438000000002</v>
      </c>
      <c r="E19" s="1020">
        <f>'1-1b'!E14+'2-1b'!E14+'3-1b'!E14+'4-1b'!E14+'5-1b'!E14+'6-1b'!E14+'7-1b'!E14+'8-1b'!E14</f>
        <v>1675.4454628000001</v>
      </c>
      <c r="G19" s="898">
        <f t="shared" si="0"/>
        <v>0.37787021630615647</v>
      </c>
    </row>
  </sheetData>
  <mergeCells count="6">
    <mergeCell ref="A3:A6"/>
    <mergeCell ref="B3:B6"/>
    <mergeCell ref="G3:G6"/>
    <mergeCell ref="D3:D6"/>
    <mergeCell ref="E3:E6"/>
    <mergeCell ref="C3:C6"/>
  </mergeCells>
  <phoneticPr fontId="6" type="noConversion"/>
  <pageMargins left="0.75" right="0.75" top="1" bottom="1" header="0" footer="0"/>
  <pageSetup paperSize="9" scale="83" orientation="portrait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17</vt:i4>
      </vt:variant>
      <vt:variant>
        <vt:lpstr>Įvardytieji diapazonai</vt:lpstr>
      </vt:variant>
      <vt:variant>
        <vt:i4>9</vt:i4>
      </vt:variant>
    </vt:vector>
  </HeadingPairs>
  <TitlesOfParts>
    <vt:vector size="26" baseType="lpstr">
      <vt:lpstr>1 programa</vt:lpstr>
      <vt:lpstr>2 programa</vt:lpstr>
      <vt:lpstr>3 programa</vt:lpstr>
      <vt:lpstr>4 programa</vt:lpstr>
      <vt:lpstr>5 programa</vt:lpstr>
      <vt:lpstr>6 programa</vt:lpstr>
      <vt:lpstr>7 programa</vt:lpstr>
      <vt:lpstr>8 programa</vt:lpstr>
      <vt:lpstr>9priedas (suma)</vt:lpstr>
      <vt:lpstr>1-1b</vt:lpstr>
      <vt:lpstr>2-1b</vt:lpstr>
      <vt:lpstr>3-1b</vt:lpstr>
      <vt:lpstr>4-1b</vt:lpstr>
      <vt:lpstr>5-1b</vt:lpstr>
      <vt:lpstr>6-1b</vt:lpstr>
      <vt:lpstr>7-1b</vt:lpstr>
      <vt:lpstr>8-1b</vt:lpstr>
      <vt:lpstr>'1 programa'!Print_Area</vt:lpstr>
      <vt:lpstr>'2 programa'!Print_Area</vt:lpstr>
      <vt:lpstr>'3 programa'!Print_Area</vt:lpstr>
      <vt:lpstr>'4 programa'!Print_Area</vt:lpstr>
      <vt:lpstr>'5 programa'!Print_Area</vt:lpstr>
      <vt:lpstr>'6 programa'!Print_Area</vt:lpstr>
      <vt:lpstr>'7 programa'!Print_Area</vt:lpstr>
      <vt:lpstr>'8 programa'!Print_Area</vt:lpstr>
      <vt:lpstr>'9priedas (suma)'!Print_Area</vt:lpstr>
    </vt:vector>
  </TitlesOfParts>
  <Company>_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</dc:creator>
  <cp:lastModifiedBy>Gitana Gulevienė</cp:lastModifiedBy>
  <cp:lastPrinted>2019-01-24T09:06:49Z</cp:lastPrinted>
  <dcterms:created xsi:type="dcterms:W3CDTF">2004-08-27T06:57:44Z</dcterms:created>
  <dcterms:modified xsi:type="dcterms:W3CDTF">2019-02-06T08:08:40Z</dcterms:modified>
</cp:coreProperties>
</file>