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10.230.37.95\ftp\Tarybai\2020 m. rugpjūčio  d\Projektai pagal registrą\12TS-137\"/>
    </mc:Choice>
  </mc:AlternateContent>
  <xr:revisionPtr revIDLastSave="0" documentId="13_ncr:1_{72532322-AAE1-4BB4-A967-6EA6ED9033E1}" xr6:coauthVersionLast="45" xr6:coauthVersionMax="45" xr10:uidLastSave="{00000000-0000-0000-0000-000000000000}"/>
  <bookViews>
    <workbookView xWindow="-110" yWindow="-110" windowWidth="19420" windowHeight="10420" xr2:uid="{00000000-000D-0000-FFFF-FFFF00000000}"/>
  </bookViews>
  <sheets>
    <sheet name="Lapas1" sheetId="1" r:id="rId1"/>
  </sheets>
  <definedNames>
    <definedName name="_xlnm._FilterDatabase" localSheetId="0" hidden="1">Lapas1!$E$1:$E$599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2" i="1" l="1"/>
  <c r="H347" i="1" l="1"/>
  <c r="E17" i="1" l="1"/>
  <c r="E16" i="1"/>
  <c r="E29" i="1"/>
  <c r="E160" i="1"/>
  <c r="D168" i="1"/>
  <c r="E168" i="1"/>
  <c r="E175" i="1"/>
  <c r="E239" i="1"/>
  <c r="E255" i="1"/>
  <c r="E274" i="1"/>
  <c r="E279" i="1"/>
  <c r="E360" i="1"/>
  <c r="E448" i="1"/>
  <c r="E469" i="1"/>
  <c r="E474" i="1"/>
  <c r="E480" i="1"/>
  <c r="E486" i="1"/>
  <c r="E491" i="1"/>
  <c r="E520" i="1"/>
  <c r="E549" i="1"/>
  <c r="E564" i="1"/>
  <c r="E572" i="1"/>
  <c r="E579" i="1"/>
  <c r="E112" i="1"/>
  <c r="E108" i="1" s="1"/>
  <c r="E79" i="1" l="1"/>
  <c r="E80" i="1"/>
  <c r="E74" i="1"/>
  <c r="E75" i="1"/>
  <c r="E73" i="1" l="1"/>
  <c r="E78" i="1"/>
  <c r="E569" i="1"/>
  <c r="E568" i="1" s="1"/>
  <c r="E207" i="1"/>
  <c r="E206" i="1" s="1"/>
  <c r="D207" i="1"/>
  <c r="D206" i="1" s="1"/>
  <c r="D286" i="1" l="1"/>
  <c r="H525" i="1" l="1"/>
  <c r="H296" i="1" l="1"/>
  <c r="H114" i="1" l="1"/>
  <c r="H106" i="1"/>
  <c r="H99" i="1"/>
  <c r="H101" i="1" l="1"/>
  <c r="H112" i="1"/>
  <c r="E106" i="1"/>
  <c r="E101" i="1"/>
  <c r="E99" i="1"/>
  <c r="E97" i="1" l="1"/>
  <c r="H25" i="1"/>
  <c r="H16" i="1"/>
  <c r="E191" i="1" l="1"/>
  <c r="E186" i="1" s="1"/>
  <c r="E25" i="1"/>
  <c r="D520" i="1" l="1"/>
  <c r="D29" i="1"/>
  <c r="D133" i="1" l="1"/>
  <c r="E138" i="1"/>
  <c r="E149" i="1"/>
  <c r="E155" i="1"/>
  <c r="E119" i="1"/>
  <c r="E118" i="1" s="1"/>
  <c r="E151" i="1"/>
  <c r="E150" i="1" s="1"/>
  <c r="E130" i="1"/>
  <c r="E129" i="1" s="1"/>
  <c r="E339" i="1"/>
  <c r="E133" i="1" l="1"/>
  <c r="E345" i="1"/>
  <c r="E344" i="1"/>
  <c r="E343" i="1"/>
  <c r="E342" i="1"/>
  <c r="E341" i="1"/>
  <c r="E340" i="1"/>
  <c r="E338" i="1"/>
  <c r="E337" i="1"/>
  <c r="E336" i="1" l="1"/>
  <c r="E435" i="1"/>
  <c r="E457" i="1"/>
  <c r="E453" i="1" s="1"/>
  <c r="E406" i="1"/>
  <c r="E400" i="1"/>
  <c r="E394" i="1" l="1"/>
  <c r="E391" i="1" l="1"/>
  <c r="E386" i="1"/>
  <c r="E383" i="1"/>
  <c r="E378" i="1"/>
  <c r="E374" i="1"/>
  <c r="E372" i="1"/>
  <c r="E299" i="1" l="1"/>
  <c r="E295" i="1"/>
  <c r="E293" i="1" s="1"/>
  <c r="E413" i="1"/>
  <c r="E463" i="1" l="1"/>
  <c r="E462" i="1" s="1"/>
  <c r="D463" i="1"/>
  <c r="E367" i="1"/>
  <c r="E366" i="1" s="1"/>
  <c r="D367" i="1"/>
  <c r="D413" i="1"/>
  <c r="E432" i="1"/>
  <c r="E431" i="1" s="1"/>
  <c r="D432" i="1"/>
  <c r="E504" i="1"/>
  <c r="E498" i="1" s="1"/>
  <c r="E286" i="1"/>
  <c r="E284" i="1" s="1"/>
  <c r="E85" i="1" l="1"/>
  <c r="E84" i="1" s="1"/>
  <c r="E59" i="1"/>
  <c r="E58" i="1" s="1"/>
  <c r="E71" i="1"/>
  <c r="E65" i="1"/>
  <c r="E54" i="1"/>
  <c r="E53" i="1" s="1"/>
  <c r="E48" i="1"/>
  <c r="E45" i="1" s="1"/>
  <c r="E26" i="1"/>
  <c r="D26" i="1"/>
  <c r="E27" i="1"/>
  <c r="D27" i="1"/>
  <c r="E18" i="1"/>
  <c r="E12" i="1" s="1"/>
  <c r="E22" i="1" l="1"/>
  <c r="D16" i="1"/>
  <c r="D491" i="1" l="1"/>
  <c r="D572" i="1"/>
  <c r="D498" i="1" l="1"/>
  <c r="E485" i="1"/>
  <c r="D486" i="1"/>
  <c r="D485" i="1" s="1"/>
  <c r="D480" i="1"/>
  <c r="D360" i="1"/>
  <c r="D474" i="1"/>
  <c r="D469" i="1"/>
  <c r="D462" i="1"/>
  <c r="D453" i="1" l="1"/>
  <c r="D431" i="1"/>
  <c r="D336" i="1" l="1"/>
  <c r="D299" i="1" l="1"/>
  <c r="D295" i="1"/>
  <c r="D279" i="1"/>
  <c r="D284" i="1"/>
  <c r="D274" i="1"/>
  <c r="D239" i="1"/>
  <c r="E212" i="1"/>
  <c r="D212" i="1"/>
  <c r="D191" i="1"/>
  <c r="D186" i="1" s="1"/>
  <c r="G194" i="1"/>
  <c r="D150" i="1"/>
  <c r="D293" i="1" l="1"/>
  <c r="D278" i="1"/>
  <c r="E278" i="1"/>
  <c r="D119" i="1"/>
  <c r="D118" i="1" s="1"/>
  <c r="D112" i="1"/>
  <c r="D73" i="1"/>
  <c r="E64" i="1"/>
  <c r="D64" i="1"/>
  <c r="D45" i="1"/>
  <c r="D25" i="1" l="1"/>
  <c r="D18" i="1" l="1"/>
  <c r="D17" i="1"/>
  <c r="D12" i="1" s="1"/>
  <c r="G16" i="1"/>
  <c r="D595" i="1" l="1"/>
  <c r="E595" i="1"/>
  <c r="D255" i="1" l="1"/>
  <c r="D58" i="1"/>
  <c r="E226" i="1"/>
  <c r="D568" i="1"/>
  <c r="E92" i="1" l="1"/>
  <c r="E594" i="1" l="1"/>
  <c r="D594" i="1"/>
  <c r="H562" i="1" l="1"/>
  <c r="H561" i="1"/>
  <c r="D593" i="1" l="1"/>
  <c r="D589" i="1"/>
  <c r="E578" i="1"/>
  <c r="D579" i="1"/>
  <c r="D578" i="1" s="1"/>
  <c r="E571" i="1"/>
  <c r="D571" i="1"/>
  <c r="E557" i="1"/>
  <c r="D557" i="1"/>
  <c r="D549" i="1"/>
  <c r="E271" i="1"/>
  <c r="D271" i="1"/>
  <c r="D226" i="1" l="1"/>
  <c r="E220" i="1"/>
  <c r="D220" i="1"/>
  <c r="E217" i="1"/>
  <c r="D217" i="1"/>
  <c r="D184" i="1"/>
  <c r="D171" i="1"/>
  <c r="D108" i="1" l="1"/>
  <c r="D97" i="1"/>
  <c r="D53" i="1" l="1"/>
  <c r="E567" i="1" l="1"/>
  <c r="E174" i="1"/>
  <c r="E171" i="1"/>
  <c r="E159" i="1"/>
  <c r="E157" i="1"/>
  <c r="E154" i="1"/>
  <c r="E115" i="1"/>
  <c r="E96" i="1" s="1"/>
  <c r="E70" i="1"/>
  <c r="E21" i="1"/>
  <c r="E11" i="1"/>
  <c r="E28" i="1" l="1"/>
  <c r="E167" i="1"/>
  <c r="E52" i="1"/>
  <c r="E77" i="1"/>
  <c r="E117" i="1"/>
  <c r="E95" i="1" l="1"/>
  <c r="E10" i="1"/>
  <c r="E596" i="1" l="1"/>
  <c r="E592" i="1"/>
  <c r="E591" i="1"/>
  <c r="E590" i="1"/>
  <c r="E589" i="1"/>
  <c r="E588" i="1"/>
  <c r="D92" i="1"/>
  <c r="D567" i="1"/>
  <c r="E563" i="1"/>
  <c r="D564" i="1"/>
  <c r="D563" i="1" s="1"/>
  <c r="E560" i="1"/>
  <c r="D560" i="1"/>
  <c r="D548" i="1" s="1"/>
  <c r="E548" i="1" l="1"/>
  <c r="E519" i="1"/>
  <c r="D519" i="1"/>
  <c r="E497" i="1"/>
  <c r="D497" i="1"/>
  <c r="E479" i="1"/>
  <c r="D479" i="1"/>
  <c r="E365" i="1"/>
  <c r="D448" i="1"/>
  <c r="E268" i="1"/>
  <c r="E254" i="1" s="1"/>
  <c r="E253" i="1" s="1"/>
  <c r="D268" i="1"/>
  <c r="D254" i="1" s="1"/>
  <c r="D253" i="1" s="1"/>
  <c r="E238" i="1"/>
  <c r="D238" i="1"/>
  <c r="E234" i="1"/>
  <c r="D234" i="1"/>
  <c r="E231" i="1"/>
  <c r="D231" i="1"/>
  <c r="E223" i="1"/>
  <c r="E216" i="1" s="1"/>
  <c r="D223" i="1"/>
  <c r="D216" i="1" s="1"/>
  <c r="E211" i="1"/>
  <c r="D211" i="1"/>
  <c r="E184" i="1"/>
  <c r="E183" i="1" s="1"/>
  <c r="D210" i="1" l="1"/>
  <c r="E292" i="1"/>
  <c r="E291" i="1" s="1"/>
  <c r="E210" i="1"/>
  <c r="E496" i="1"/>
  <c r="D496" i="1"/>
  <c r="D230" i="1"/>
  <c r="D229" i="1" s="1"/>
  <c r="D183" i="1"/>
  <c r="D182" i="1" s="1"/>
  <c r="E230" i="1"/>
  <c r="E229" i="1" s="1"/>
  <c r="E587" i="1"/>
  <c r="D366" i="1"/>
  <c r="D587" i="1"/>
  <c r="E495" i="1" l="1"/>
  <c r="D495" i="1"/>
  <c r="E252" i="1"/>
  <c r="D292" i="1"/>
  <c r="D365" i="1"/>
  <c r="D209" i="1"/>
  <c r="D175" i="1"/>
  <c r="D174" i="1" s="1"/>
  <c r="D160" i="1"/>
  <c r="D159" i="1" s="1"/>
  <c r="D157" i="1"/>
  <c r="D154" i="1"/>
  <c r="D129" i="1"/>
  <c r="D115" i="1"/>
  <c r="D96" i="1" s="1"/>
  <c r="D84" i="1"/>
  <c r="D78" i="1"/>
  <c r="D70" i="1"/>
  <c r="D22" i="1"/>
  <c r="D21" i="1" s="1"/>
  <c r="D11" i="1"/>
  <c r="D291" i="1" l="1"/>
  <c r="D28" i="1"/>
  <c r="D167" i="1"/>
  <c r="E593" i="1"/>
  <c r="D52" i="1"/>
  <c r="D117" i="1"/>
  <c r="D252" i="1" l="1"/>
  <c r="E209" i="1"/>
  <c r="E9" i="1"/>
  <c r="D77" i="1"/>
  <c r="D95" i="1"/>
  <c r="D592" i="1"/>
  <c r="D591" i="1"/>
  <c r="D590" i="1"/>
  <c r="D588" i="1"/>
  <c r="D596" i="1"/>
  <c r="D10" i="1" l="1"/>
  <c r="E585" i="1"/>
  <c r="D597" i="1"/>
  <c r="D9" i="1" l="1"/>
  <c r="D585" i="1" s="1"/>
  <c r="E597" i="1"/>
  <c r="F597" i="1" s="1"/>
</calcChain>
</file>

<file path=xl/sharedStrings.xml><?xml version="1.0" encoding="utf-8"?>
<sst xmlns="http://schemas.openxmlformats.org/spreadsheetml/2006/main" count="1703" uniqueCount="1171">
  <si>
    <t>PRITARTA</t>
  </si>
  <si>
    <t>Jonavos rajono savivaldybės tarybos</t>
  </si>
  <si>
    <t>Informaciją apie veiklos prioritetų įgyvendinimą, svarbiausių darbų atlikimą ir pasiektą pažangą</t>
  </si>
  <si>
    <t>Kodas</t>
  </si>
  <si>
    <t>Pavadinimas</t>
  </si>
  <si>
    <t>Asignavimų šaltinis</t>
  </si>
  <si>
    <t>Skirti asignavimai, tūkst. eurų</t>
  </si>
  <si>
    <t>Panaudoti asignavimai, tūkst. eurų</t>
  </si>
  <si>
    <t>Vertinimo kriterijai. Pavadinimas</t>
  </si>
  <si>
    <t>Vertinimo kriterijai. Planuota reikšmė</t>
  </si>
  <si>
    <t>Vertinimo kriterijai. Pasiekta reikšmė</t>
  </si>
  <si>
    <t>Informacija apie priežastis dėl kurių nepavyko įgyvendinti tikslų/uždavinių/ priemonių</t>
  </si>
  <si>
    <t>1.</t>
  </si>
  <si>
    <t>Programa. Švietimas, kultūra ir sportas</t>
  </si>
  <si>
    <t>Tikslas. Sudaryti lygias mokymosi galimybes ir prieinamumą</t>
  </si>
  <si>
    <t>1. 1.</t>
  </si>
  <si>
    <t>Uždavinys. Finansuoti ir prižiūrėti pavaldžias bendrojo lavinimo įstaigas, siekiant užtikrinti lygias mokymosi galimybes</t>
  </si>
  <si>
    <t>Priemonė.  Moksleivio krepšelio finansavimas</t>
  </si>
  <si>
    <t>VB-STD</t>
  </si>
  <si>
    <t>Priemonė.  Mokymo aplinkos finansavimas</t>
  </si>
  <si>
    <t>SB</t>
  </si>
  <si>
    <t>Mokymo aplinkos finansavimas bendrojo lavinimo įstaigoms ( išlaidos skirtos DU, mitybai, medikamentų įsigijimui, ryšių paslaugų išlaikymui, kvalifikacijos kėlimui, transporto išlaikymui ir kt.)</t>
  </si>
  <si>
    <t>TPP</t>
  </si>
  <si>
    <t>1.1.3.</t>
  </si>
  <si>
    <t>Priemonė. Specialiųjų ugdymo poreikių mokiniams  išlaikyti</t>
  </si>
  <si>
    <t>2.</t>
  </si>
  <si>
    <t>Tikslas. Sukurti efektyvią ir darnią švietimo sistemą</t>
  </si>
  <si>
    <t>2.1.</t>
  </si>
  <si>
    <t>Uždavinys. Siekti švietimo sistemos efektyvumo bei formaliojo ir neformaliojo ugdymo dermės</t>
  </si>
  <si>
    <t>2.1.1.</t>
  </si>
  <si>
    <t>Moksleivio krepšelio finansavimas ikimokyklinėms įstaigoms (išlaidos skirtos DU, knygų ir žaislų įsigijimui, pažintinių veiklų, kvalifikacijos kėlimo organizavimui ir kt.)</t>
  </si>
  <si>
    <t>2.1.2.</t>
  </si>
  <si>
    <t>Priemonė. Ugdymo aplinkos  finansavimas ikimokykliniam ugdymui</t>
  </si>
  <si>
    <t>Mokymo aplinkos finansavimas ikimokyklinėms įstaigoms (išlaidos skirtos DU, mitybai, medikamentų įsigijimui, ryšių paslaugų išlaikymui, kvalifikacijos kėlimui, transporto išlaikymui ir kt.)</t>
  </si>
  <si>
    <t>3.</t>
  </si>
  <si>
    <t>Tikslas. Tobulinti ugdymo(si) kokybę</t>
  </si>
  <si>
    <t>3.1.</t>
  </si>
  <si>
    <t>Uždavinys. Centralizuotas fondas švietimo reikmėms</t>
  </si>
  <si>
    <t>3.1.1.</t>
  </si>
  <si>
    <t>3.1.2.</t>
  </si>
  <si>
    <t>3.1.3.</t>
  </si>
  <si>
    <t>Priemonė. Centralizuotas fondas metodinei literatūrai</t>
  </si>
  <si>
    <t>Įsigytos mokyklinės dokumentacijos skaičius (vnt.)</t>
  </si>
  <si>
    <t xml:space="preserve">Metodinės literatūros įsigijimas </t>
  </si>
  <si>
    <t>3.1.4.</t>
  </si>
  <si>
    <t>Priemonė. Olimpiados, renginiai, metodinės išvykos</t>
  </si>
  <si>
    <t>Suorganizuotų olimpiadų, renginių, metodinių išvykų skaičius (vnt.)</t>
  </si>
  <si>
    <t>Bendrojo ugdymo mokyklų mokinių dalykinių olimpiadų, konkursų ir kitų rajoninių renginių ir neformaliojo vaikų švietimo mokyklų rajoninių renginių finansavimas</t>
  </si>
  <si>
    <t>3.1.5.</t>
  </si>
  <si>
    <t>Priemonė. Trečiojo amžiaus universiteto veiklos rėmimas</t>
  </si>
  <si>
    <t>Užsiėmimų organizavimas senjorams</t>
  </si>
  <si>
    <t>3.1.6.</t>
  </si>
  <si>
    <t>Priemonė. Jaunimo projektų finansavimas</t>
  </si>
  <si>
    <t>Finansuotų jaunimo projektų skaičius (vnt.)</t>
  </si>
  <si>
    <t>Jaunimo projektų įgyvendinimas</t>
  </si>
  <si>
    <t>3.1.7.</t>
  </si>
  <si>
    <t>3.1.8.</t>
  </si>
  <si>
    <t>Nuostolingų mokyklų skaičius (vnt.)</t>
  </si>
  <si>
    <t>3.1.9.</t>
  </si>
  <si>
    <t>Priemonė. Studijų rėmimo fondas</t>
  </si>
  <si>
    <t>3.2.</t>
  </si>
  <si>
    <t>Uždavinys. Teikti tinkamą pedagoginę psichologinę pagalbą</t>
  </si>
  <si>
    <t>3.2.1.</t>
  </si>
  <si>
    <t>3.2.2.</t>
  </si>
  <si>
    <t>Priemonė. Pedagoginės psichologinės tarnybos aplinkos finansavimas</t>
  </si>
  <si>
    <t>3.3.</t>
  </si>
  <si>
    <t>3.3.1.</t>
  </si>
  <si>
    <t>ES</t>
  </si>
  <si>
    <t>4.</t>
  </si>
  <si>
    <t>Tikslas. Kultūros veiklos sklaida ir jos vaidmens bendruomenės gyvenime didinimas</t>
  </si>
  <si>
    <t>4.1.</t>
  </si>
  <si>
    <t>4.1.1.</t>
  </si>
  <si>
    <t>Priemonė. Jonavos savivaldybės kultūros centro veikla</t>
  </si>
  <si>
    <t>4.1.2.</t>
  </si>
  <si>
    <t>4.1.3.</t>
  </si>
  <si>
    <t>4.2.</t>
  </si>
  <si>
    <t>Uždavinys. Modernizuojant bibliotekas gerinti gyventojų informacinį aprūpinimą</t>
  </si>
  <si>
    <t>4.2.1.</t>
  </si>
  <si>
    <t>Leidžiamo leidinio Taurosta tiražas (2 k./m.) (vnt.)</t>
  </si>
  <si>
    <t>4.3.</t>
  </si>
  <si>
    <t>Uždavinys. Išsaugoti istorinę atmintį ją skleisti visuomenei</t>
  </si>
  <si>
    <t>4.3.1.</t>
  </si>
  <si>
    <t>Priemonė. Krašto muziejaus veikla</t>
  </si>
  <si>
    <t>4.4.</t>
  </si>
  <si>
    <t>Uždavinys. Plėtoti mėgėjų teatro veiklą</t>
  </si>
  <si>
    <t xml:space="preserve">4.4.1. </t>
  </si>
  <si>
    <t>4.5.</t>
  </si>
  <si>
    <t>4.5.1.</t>
  </si>
  <si>
    <t>Priemonė. Ugdymo aplinkos  finansavimas Meno mokykloje</t>
  </si>
  <si>
    <t>5.</t>
  </si>
  <si>
    <t>5.1.</t>
  </si>
  <si>
    <t>5.1.1.</t>
  </si>
  <si>
    <t>5.2.</t>
  </si>
  <si>
    <t>5.2.1.</t>
  </si>
  <si>
    <t>5.2.2.</t>
  </si>
  <si>
    <t>Sportininkų ir komandų skatinimas už pasiektus rezultatus</t>
  </si>
  <si>
    <t>5.2.3.</t>
  </si>
  <si>
    <t>Iš savivaldybės biudžeto remiamų  sporto klubų vykdomų programų skaičius rajone, (vnt.)</t>
  </si>
  <si>
    <t xml:space="preserve">1. </t>
  </si>
  <si>
    <t xml:space="preserve">Priemonė. Mokėti vienkartinę išmoką gimus vaikui </t>
  </si>
  <si>
    <t>VB</t>
  </si>
  <si>
    <t xml:space="preserve">Priemonė. Mokėti išmokas vaikams </t>
  </si>
  <si>
    <t>Priemonė. Mokėti išmokas privalomosios tarnybos karių vaikams</t>
  </si>
  <si>
    <t>Privalomosios tarnybos karių vakams išmokos mokėjimas</t>
  </si>
  <si>
    <t>Priemonė. Mokėti globos (rūpybos) išmokas</t>
  </si>
  <si>
    <t>Priemonė. Mokėti vienkartines išmokas būstui įsigyti arba įsikurti (našlaičiams)</t>
  </si>
  <si>
    <t>Vienkartinės išmokos būsto įsigyjimui arba įsikurimui (našlaičiams) mokėjimas</t>
  </si>
  <si>
    <t xml:space="preserve">Priemonė.  Mokėti vienkartines išmokas nėščioms moterims </t>
  </si>
  <si>
    <t>Vienkartinės išmokos nėščioms moterims mokėjimas</t>
  </si>
  <si>
    <t>Socialinės pašalpos nepasiturinčioms šeimoms ir vieniems gyvenantiems asmenims (socialinės išmokos) mokėjimas</t>
  </si>
  <si>
    <t>1.1.8.</t>
  </si>
  <si>
    <t>Priemonė. Mokėti išmokas neįgaliesiems</t>
  </si>
  <si>
    <t>1.2.</t>
  </si>
  <si>
    <t>Uždavinys. Užtikrinti vienkartinę paramą socialiai remtiniems asmenims, mažinti skurdą</t>
  </si>
  <si>
    <t>1.2.1.</t>
  </si>
  <si>
    <t>1.2.2.</t>
  </si>
  <si>
    <t>Ruklos dienos centro paramos programa</t>
  </si>
  <si>
    <t>1.2.3.</t>
  </si>
  <si>
    <t>Priemonė. Teikti socialinę paramą mokiniams už įsigytus produktus</t>
  </si>
  <si>
    <t>1.2.4.</t>
  </si>
  <si>
    <t>1.3.</t>
  </si>
  <si>
    <t>1.3.1.</t>
  </si>
  <si>
    <t>Priemonė. Subsidija miesto pirties ir viešojo tualeto išlaidoms</t>
  </si>
  <si>
    <t>Suteiktų miesto pirties ir viešojo tualeto paslaugų skaičius, (vnt.)</t>
  </si>
  <si>
    <t>Subsidija miesto pirties ir viešojo tualeto išlaidoms</t>
  </si>
  <si>
    <t>Tikslas. Organizuoti  bei teikti socialines paslaugas įvairioms rajono gyventojų socialinėms grupėms</t>
  </si>
  <si>
    <t>Uždavinys. Užtikrinti vaikų, jaunuolių ir suaugusiųjų su proto ir kompleksine negalia globą</t>
  </si>
  <si>
    <t>2.2.</t>
  </si>
  <si>
    <t>Uždavinys. Užtikrinti  žmonių ir žmonių su negalia globą globos namuose</t>
  </si>
  <si>
    <t>2.2.1.</t>
  </si>
  <si>
    <t>Priemonė. Globoti žmones globos namuose</t>
  </si>
  <si>
    <t xml:space="preserve">2.3. </t>
  </si>
  <si>
    <t>Suteiktų kompleksinės pagalbos šeimoms paslaugų skaičius (vnt.)</t>
  </si>
  <si>
    <t>Priemonė. Soc.paslaugų centro veikla</t>
  </si>
  <si>
    <t>Teikiamų socialinių paslaugų skaičius (vnt.)</t>
  </si>
  <si>
    <t>Priemonė. Vienkartinės išmokos</t>
  </si>
  <si>
    <t>Socialinė parama (pašalpos)</t>
  </si>
  <si>
    <t>2.4.</t>
  </si>
  <si>
    <t>Uždavinys. Užtikrinti vaiko globą</t>
  </si>
  <si>
    <t>2.4.1.</t>
  </si>
  <si>
    <t>2.5.</t>
  </si>
  <si>
    <t>Uždavinys. Užtikrinti asmenų be pastovios gyvenamosios vietos socialines garantijas, suteikiant laikiną prieglobstį</t>
  </si>
  <si>
    <t>2.5.1.</t>
  </si>
  <si>
    <t xml:space="preserve">Priemonė. Suteikti laikino apgyvendinimo paslaugas Nakvynės namuose </t>
  </si>
  <si>
    <t xml:space="preserve">2.6. </t>
  </si>
  <si>
    <t>Uždavinys. Užtikrinti socialines paslaugas, gyvenantiems namuose neįgaliesiems</t>
  </si>
  <si>
    <t>Priemonė. Neįgaliųjų būsto pritaikymo jų poreikiams dalinis finansavimas</t>
  </si>
  <si>
    <t>Tikslas. Plėtoti socialinių paslaugų infrastruktūrą bei prisidėti prie pilietinės visuomenės formavimo, palaikant bendruomenės iniciatyvas</t>
  </si>
  <si>
    <t>Uždavinys. Užtikrinti socialinių paslaugų, teikiamų įvairioms miesto gyventojų socialinėms grupėms, įvairovę</t>
  </si>
  <si>
    <t xml:space="preserve">3.1.1. </t>
  </si>
  <si>
    <t>Senyvo amžiaus, asmenų su negalia, socialinės rizikos asmenų globos išlaikymas kito pavaldumo globos įstaigose</t>
  </si>
  <si>
    <t>Priemonė. Apmokėti vaikų, netekusių tėvų globos, išlaikymą kito pavaldumo globos įstaigose</t>
  </si>
  <si>
    <t xml:space="preserve">3.1.3. </t>
  </si>
  <si>
    <t xml:space="preserve">4. </t>
  </si>
  <si>
    <t>Tikslas. Vykdant LR teisės aktus apskaičiuoti ir išmokėti kompensacijas</t>
  </si>
  <si>
    <t xml:space="preserve">4.2. </t>
  </si>
  <si>
    <t>Uždavinys. Kompensuoti vežėjams nuostolius dėl LR transporto įstatyme numatytų lengvatų teikimo</t>
  </si>
  <si>
    <t>Tikslas. Savivaldybės socialinio būsto plėtra</t>
  </si>
  <si>
    <t>Uždavinys. Savivaldybės socialinio būsto plėtra ir būsto atnaujinimas</t>
  </si>
  <si>
    <t>5.1.2.</t>
  </si>
  <si>
    <t>Programa. Sveikatos apsauga</t>
  </si>
  <si>
    <t>1.1.</t>
  </si>
  <si>
    <t>1.1.1.</t>
  </si>
  <si>
    <t>SAARS</t>
  </si>
  <si>
    <t>Priemonių, vykdomų įgyvendinant Visuomenės sveikatos rėmimo specialiąją programą skaičius (vnt.)</t>
  </si>
  <si>
    <t>Uždavinys. Priartinti visuomenės sveikatos priežiūrą prie savivaldybės gyventojų</t>
  </si>
  <si>
    <t>Strateginis tikslas. Sudaryti palankias sąlygas verslui bei kaimo plėtrai</t>
  </si>
  <si>
    <t>Programa. Ekonominio konkurencingumo didinimas</t>
  </si>
  <si>
    <t>Tikslas. Vykdyti Jonavos rajono savivaldybės teritorijos planavimo ir projektavimo darbus</t>
  </si>
  <si>
    <t>Uždavinys. Parengti Jonavos rajono savivaldybei reikalingus teritorijų planavimo dokementus</t>
  </si>
  <si>
    <t>1.1.2.</t>
  </si>
  <si>
    <t xml:space="preserve">2. </t>
  </si>
  <si>
    <t>Uždavinys. Remti savivaldybės kontroliuojamų įmonių veiklą</t>
  </si>
  <si>
    <t>Nedarbo lygis (proc.)</t>
  </si>
  <si>
    <t>Programa. Žemės ūkio plėtra ir melioracija</t>
  </si>
  <si>
    <t>Tikslas. Skatinti kaimo plėtrą ir didinti žemės ūkio konkurencingumą</t>
  </si>
  <si>
    <t>Uždavinys. Ugdyti žemdirbių profesinį meistriškumą</t>
  </si>
  <si>
    <t>Surengtų švenčių skaičius (vnt.)</t>
  </si>
  <si>
    <t>Surengtų konkursų skaičius (vnt.)</t>
  </si>
  <si>
    <t>Uždavinys. Skatinti ūkininkus tobulinti ir plėsti savo ūkinę veiklą</t>
  </si>
  <si>
    <t>Priemonė. Traktorių ir priekabų valstybinių numerių, registracijos liudijimų, techninės apžiūros talonų įsigijimas</t>
  </si>
  <si>
    <t>Išduotų traktorių ir priekabų valstybinių numerių skaičius (vnt.)</t>
  </si>
  <si>
    <t>Traktorių ir priekabų valstybinių numerių, registracijos liudijimų, techninės apžiūros talonų įsigijimas</t>
  </si>
  <si>
    <t>Išduotų registracijos liudijimų skaičius (vnt.)</t>
  </si>
  <si>
    <t>Išduotų techninės apžiūros talonų skaičius (vnt.)</t>
  </si>
  <si>
    <t>Uždavinys. Užtikrinti melioruotų žemių (savininkams) naudotojams kokybiškos sausinimo paslaugos teikimą</t>
  </si>
  <si>
    <t>Suremontuoto drenažo plotas (ha)</t>
  </si>
  <si>
    <t>2.1.3.</t>
  </si>
  <si>
    <t>2.1.4.</t>
  </si>
  <si>
    <t>2.1.5.</t>
  </si>
  <si>
    <t>Strateginis tikslas. Gerinti gyvenamosios aplinkos kokybę, plėtoti inžinerinę infrastruktūrą</t>
  </si>
  <si>
    <t>6.</t>
  </si>
  <si>
    <t>Programa. Aplinkos, kraštovaizdžio ir viešoji apsauga</t>
  </si>
  <si>
    <t>Tiklsas. Siekti subalansuotos ir sveikos aplinkos Jonavos rajono savivaldybės teritorijoje</t>
  </si>
  <si>
    <t>1.1.4.</t>
  </si>
  <si>
    <t>1.1.5.</t>
  </si>
  <si>
    <t>1.1.6.</t>
  </si>
  <si>
    <t>Priemonė.  Prevencinės priemonės, kuriomis siekiama išvengti medžiojamųjų gyvūnų daromos žalos miškui</t>
  </si>
  <si>
    <t>Įgyvendintų priemonių skaičius (vnt.)</t>
  </si>
  <si>
    <t>Priemonė. Organizuoti JPGT darbuotojų darbą</t>
  </si>
  <si>
    <t>Vidutinis gaisrų skaičius (vnt.)</t>
  </si>
  <si>
    <t>Priemonė. Atnaujinti JPGT inventorių, būtiną funkcijoms vykdyti</t>
  </si>
  <si>
    <t>7.</t>
  </si>
  <si>
    <t>Programa. Savivaldybės infrastruktūros objektų priežiūra, modernizavimas ir plėtra</t>
  </si>
  <si>
    <t>Prižiūrimų ir tvarkomų viešųjų erdvių plotas (ha)</t>
  </si>
  <si>
    <t>Prižiūrimų ir tvarkomų kapinių plotas (ha)</t>
  </si>
  <si>
    <t>Valomų gatvių ir šaligatvių plotas (ha)</t>
  </si>
  <si>
    <t>Priemonė. Gerbūvio tvarkymo darbai seniūnijose</t>
  </si>
  <si>
    <t xml:space="preserve">1.2.1. </t>
  </si>
  <si>
    <t>Priemonė. Kelių ir gatvių priežiūra Bukonių seniūnijoje</t>
  </si>
  <si>
    <t>KPPP</t>
  </si>
  <si>
    <t>Vietinių kelių ilgis Bukonių seniūnijoje, (km)</t>
  </si>
  <si>
    <t xml:space="preserve">1.2.2. </t>
  </si>
  <si>
    <t>Priemonė. Kelių ir gatvių priežiūra Šveicarijos seniūnijoje</t>
  </si>
  <si>
    <t>Vietinių kelių ilgis Šveicarijos seniūnijoje, (km)</t>
  </si>
  <si>
    <t>Priemonė. Kelių ir gatvių priežiūra Jonavos miesto seniūnijoje</t>
  </si>
  <si>
    <t>Vietinių kelių ilgis Jonavos miesto seniūnijoje, (km)</t>
  </si>
  <si>
    <t>Priemonė.Kelių ir gatvių priežiūra Kulvos seniūnijoje</t>
  </si>
  <si>
    <t>Vietinių kelių ilgis Kulvos seniūnijoje, (km)</t>
  </si>
  <si>
    <t>1.2.5.</t>
  </si>
  <si>
    <t>Priemonė.Kelių ir gatvių priežiūra Ruklos seniūnijoje</t>
  </si>
  <si>
    <t>Vietinių kelių ilgis Ruklos seniūnijoje, (km)</t>
  </si>
  <si>
    <t>1.2.6.</t>
  </si>
  <si>
    <t>Priemonė. Kelių ir gatvių priežiūra Šilų seniūnijoje</t>
  </si>
  <si>
    <t>Vietinių kelių ilgis Šilų seniūnijoje, (km)</t>
  </si>
  <si>
    <t>1.2.7.</t>
  </si>
  <si>
    <t>Priemonė. Kelių ir gatvių priežiūra Upninkų seniūnijoje</t>
  </si>
  <si>
    <t>Vietinių kelių ilgis Upninkų seniūnijoje, (km)</t>
  </si>
  <si>
    <t>1.2.8.</t>
  </si>
  <si>
    <t>Priemonė. Kelių ir gatvių priežiūra Užusalių seniūnijoje</t>
  </si>
  <si>
    <t>Vietinių kelių ilgis Užusalių seniūnijoje, (km)</t>
  </si>
  <si>
    <t>1.2.9.</t>
  </si>
  <si>
    <t>Priemonė. Kelių ir gatvių priežiūra Žeimių seniūnijoje</t>
  </si>
  <si>
    <t>Vietinių kelių ilgis Žeimių seniūnijoje, (km)</t>
  </si>
  <si>
    <t>1.2.10.</t>
  </si>
  <si>
    <t>1.2.11.</t>
  </si>
  <si>
    <t>1.2.12.</t>
  </si>
  <si>
    <t>2.3.</t>
  </si>
  <si>
    <t>2.3.1.</t>
  </si>
  <si>
    <t>2.5</t>
  </si>
  <si>
    <t>Priemonė. Centralizuotas fondas avariniams remonto darbams</t>
  </si>
  <si>
    <t>Išlaikomų pastatų skaičius (vnt.)</t>
  </si>
  <si>
    <t xml:space="preserve">Atlikti renovuotų daugiabučių gyvenamųjų namų, bankrutavusių įmonių defektų taisymai
</t>
  </si>
  <si>
    <t>Strateginis tikslas. Gerinti savivaldybės įvaizdį, didinti valdymo kokybę</t>
  </si>
  <si>
    <t>8.</t>
  </si>
  <si>
    <t>Programa. Savivaldybės valdymas ir pagrindinių funkcijų vykdymas</t>
  </si>
  <si>
    <t>Priemonė. Tarybos darbo organizavimas</t>
  </si>
  <si>
    <t>Priimtų tarybos sprendimų skaičius (vnt.)</t>
  </si>
  <si>
    <t>Tarybos darbo organizavimas</t>
  </si>
  <si>
    <t>Priemonė.  Savivaldybės kontrolieriaus funkcijų vykdymas</t>
  </si>
  <si>
    <t>Atliktų auditų skaičius (vnt.)</t>
  </si>
  <si>
    <t>Savivaldybės kontrolieriaus funkcijų vykdymas</t>
  </si>
  <si>
    <t>Priemonė. Administracijos ir seniūnijų darbo organizavimas</t>
  </si>
  <si>
    <t>Administracijos ir seniūnijų darbo organizavimas</t>
  </si>
  <si>
    <t>Įgyvendintų administracinės naštos mažinimo priemonių skaičius (vnt.)</t>
  </si>
  <si>
    <t>Gautų skundų skaičius, dėl moterų ir vyrų lygių galimybių neužtikrinimo (vnt.)</t>
  </si>
  <si>
    <t>Priemonė. Informacinių sistemų ir duomenų centrų priežiūra</t>
  </si>
  <si>
    <t>Informacinių sistemų ir duomenų centrų priežiūra</t>
  </si>
  <si>
    <t>1.1.7.</t>
  </si>
  <si>
    <t>Tikslas. Užtikrinti efektyvų valstybinių (perduotų savivaldybėms) funkcijų vykdymą</t>
  </si>
  <si>
    <t>Valstybės dotacijų, skirtų vykdyti valstybines (perduotas savivaldybėms) funkcijas, įsisavinimas (proc.)</t>
  </si>
  <si>
    <t>Uždavinys. Vykdyti valstybines (perduotas savivaldybėms) funkcijas</t>
  </si>
  <si>
    <t>Valstybinių funkcijų administravimas</t>
  </si>
  <si>
    <t>Priemonė. Duomenų teikimas Valstybės suteiktos pagalbos registrui</t>
  </si>
  <si>
    <t>2.1.6.</t>
  </si>
  <si>
    <t>2.1.7.</t>
  </si>
  <si>
    <t>2.1.8.</t>
  </si>
  <si>
    <t>2.1.9.</t>
  </si>
  <si>
    <t>Priemonė. Socialinės paramos mokiniams administravimas</t>
  </si>
  <si>
    <t>2.1.10.</t>
  </si>
  <si>
    <t>2.1.11.</t>
  </si>
  <si>
    <t>Priemonė. Žemės ūkio funkcijų vykdymas</t>
  </si>
  <si>
    <t>2.1.12.</t>
  </si>
  <si>
    <t>2.1.13.</t>
  </si>
  <si>
    <t>2.1.14.</t>
  </si>
  <si>
    <t>Priemonė. Jaunimo teisių apsauga</t>
  </si>
  <si>
    <t>2.1.15.</t>
  </si>
  <si>
    <t>2.1.16.</t>
  </si>
  <si>
    <t>2.1.17.</t>
  </si>
  <si>
    <t>2.1.18.</t>
  </si>
  <si>
    <t>Priimtų užsienio delegacijų skaičius (vnt.)</t>
  </si>
  <si>
    <t>Reprezentacinės išlaidos</t>
  </si>
  <si>
    <t>Vizitų į užsienį skaičius (vnt.)</t>
  </si>
  <si>
    <t>Suorganizuotų fotoparodų skaičius (vnt.)</t>
  </si>
  <si>
    <t xml:space="preserve">3.2. </t>
  </si>
  <si>
    <t>Priemonė. Mero fondas</t>
  </si>
  <si>
    <t>Fondo panaudojimas (proc.)</t>
  </si>
  <si>
    <t>Reprezentacijos bei kitų nenumatytų darbų vykdymas</t>
  </si>
  <si>
    <t>Uždavinys. Vienkartinių ir kitų išlaidų finansavimas</t>
  </si>
  <si>
    <t>Priemonė. Seniūnaičių veiklos išlaidų dengimas</t>
  </si>
  <si>
    <t>Seniūnaičių veiklos išlaidos</t>
  </si>
  <si>
    <t>Priemonė. Statybos leidimų gavimas</t>
  </si>
  <si>
    <t>Uždavinys. Užtikrinti finansinių įsipareigojimų vykdymą</t>
  </si>
  <si>
    <t xml:space="preserve">Priemonė. Paskolų mokėjimas pagal pasirašytas paskolų grąžinimo sutartis ir kitų finansinių įsipareigojimų vykdymas </t>
  </si>
  <si>
    <t>Tikslas.  Koordinuoti Europos Sąjungos paramos, kitų programų paramos panaudojimą Jonavos rajono savivaldybėje</t>
  </si>
  <si>
    <t>6.1.</t>
  </si>
  <si>
    <t>Uždavinys. Dalyvauti, planuoti ir valdyti ES ir kitų programų finansuojamus projektus</t>
  </si>
  <si>
    <t>6.1.1.</t>
  </si>
  <si>
    <r>
      <t xml:space="preserve">SB </t>
    </r>
    <r>
      <rPr>
        <sz val="11"/>
        <rFont val="Times New Roman"/>
        <family val="1"/>
        <charset val="186"/>
      </rPr>
      <t>Savivaldybės biudžetas</t>
    </r>
  </si>
  <si>
    <r>
      <t xml:space="preserve">VB (STD) </t>
    </r>
    <r>
      <rPr>
        <sz val="11"/>
        <rFont val="Times New Roman"/>
        <family val="1"/>
        <charset val="186"/>
      </rPr>
      <t>Valstybės biudžeto special. tikslinė dotacija</t>
    </r>
  </si>
  <si>
    <r>
      <t xml:space="preserve">ES </t>
    </r>
    <r>
      <rPr>
        <sz val="11"/>
        <rFont val="Times New Roman"/>
        <family val="1"/>
        <charset val="186"/>
      </rPr>
      <t>Europos Sąjungos lėšos, užsienio fondų lėšos</t>
    </r>
  </si>
  <si>
    <r>
      <t xml:space="preserve">SAARS </t>
    </r>
    <r>
      <rPr>
        <sz val="11"/>
        <rFont val="Times New Roman"/>
        <family val="1"/>
        <charset val="186"/>
      </rPr>
      <t>Aplinkos apsaugos rėmimo specialioji programa</t>
    </r>
  </si>
  <si>
    <r>
      <t xml:space="preserve">KPPP </t>
    </r>
    <r>
      <rPr>
        <sz val="11"/>
        <rFont val="Times New Roman"/>
        <family val="1"/>
        <charset val="186"/>
      </rPr>
      <t>Kelių priežiūros ir plėtros programa</t>
    </r>
  </si>
  <si>
    <r>
      <rPr>
        <b/>
        <sz val="11"/>
        <rFont val="Times New Roman"/>
        <family val="1"/>
        <charset val="186"/>
      </rPr>
      <t>UF</t>
    </r>
    <r>
      <rPr>
        <sz val="11"/>
        <rFont val="Times New Roman"/>
        <family val="1"/>
        <charset val="186"/>
      </rPr>
      <t xml:space="preserve"> Užimtumo fondas</t>
    </r>
  </si>
  <si>
    <r>
      <t xml:space="preserve">VB </t>
    </r>
    <r>
      <rPr>
        <sz val="11"/>
        <rFont val="Times New Roman"/>
        <family val="1"/>
        <charset val="186"/>
      </rPr>
      <t>Valstybės biudžetas ir privatizavimo fondas</t>
    </r>
  </si>
  <si>
    <r>
      <t xml:space="preserve">KL </t>
    </r>
    <r>
      <rPr>
        <sz val="11"/>
        <rFont val="Times New Roman"/>
        <family val="1"/>
        <charset val="186"/>
      </rPr>
      <t>Kitos lėšos</t>
    </r>
  </si>
  <si>
    <r>
      <t xml:space="preserve">TPP </t>
    </r>
    <r>
      <rPr>
        <sz val="11"/>
        <rFont val="Times New Roman"/>
        <family val="1"/>
        <charset val="186"/>
      </rPr>
      <t>Teikiamų paslaugų pajamos</t>
    </r>
  </si>
  <si>
    <t>Strateginis tikslas. Užtikrinti švietimo prieinamumą ir kokybę, mažinti socialinę atskirtį ir ugdyti bendruomenės sveikatą</t>
  </si>
  <si>
    <t>I</t>
  </si>
  <si>
    <t>Priemonė. Moksleivio krepšelio finansavimas ikimokyklinėse įstaigose (ikimokyklinio ugdymo grupėse)</t>
  </si>
  <si>
    <t>Priemonė. Vaikų vasaros poilsio, socializacijos ir kt. programos, projektai</t>
  </si>
  <si>
    <t>Vaikų vasaros poilsio, socializacijos ir kt. programų, projektų skaičius (vnt.)</t>
  </si>
  <si>
    <t>Atlikta brandumo mokyklai įvertinimų skaičius (vnt.)</t>
  </si>
  <si>
    <t>Suorganizuotų renginių skaičius (vnt.)</t>
  </si>
  <si>
    <t>Priemonė. Viešosios bibliotekos veikla</t>
  </si>
  <si>
    <t>5.3.</t>
  </si>
  <si>
    <t>Uždavinys. Skatinti sportinę  veiklą kaimo vietovėse</t>
  </si>
  <si>
    <t>5.3.1.</t>
  </si>
  <si>
    <t>Programa. Socialinės apsaugos plėtojimas</t>
  </si>
  <si>
    <t>1.4.</t>
  </si>
  <si>
    <t>1.4.1.</t>
  </si>
  <si>
    <t>2.2.2.</t>
  </si>
  <si>
    <t xml:space="preserve">Priemonė. Globoti žmones su sunkia negalia globos namuose </t>
  </si>
  <si>
    <t>Uždavinys. Užtikrinti socialinių paslaugų teikimą per Socialinių paslaugų centrą ir socialinių projektų vykdymą</t>
  </si>
  <si>
    <t>2.3.2.</t>
  </si>
  <si>
    <t>2.3.3.</t>
  </si>
  <si>
    <t>2.3.4.</t>
  </si>
  <si>
    <t>2.3.5.</t>
  </si>
  <si>
    <t>2.6.1.</t>
  </si>
  <si>
    <t>Priemonė. Socialinės apsaugos renginių programa</t>
  </si>
  <si>
    <t>Socialinės apsaugos renginių programos finansavimas</t>
  </si>
  <si>
    <t xml:space="preserve">Priemonė. Kompensacijos už šildymą, šaltą vandenį bei nuotekas ir karštą vandenį </t>
  </si>
  <si>
    <t>Kompensacijos už šildymą, šaltą vandenį bei nuotekas ir karštą vandenį</t>
  </si>
  <si>
    <t>Įsigytų socialinių būstų skaičius (vnt.)</t>
  </si>
  <si>
    <t>5.1.3.</t>
  </si>
  <si>
    <t>KL</t>
  </si>
  <si>
    <t>II.</t>
  </si>
  <si>
    <t>Uždavinys. Išduoti beprocentines paskolas ir teikti negrąžintiną finansinę paramą smulkioms ir vidutinėms įmonėms bei ūkininkams</t>
  </si>
  <si>
    <t>Išduotų paskolų skaičius (vnt.)</t>
  </si>
  <si>
    <t>Uždavinys. Kurti naujas darbo vietas, didinti gyventojų užimtumą</t>
  </si>
  <si>
    <t>Tikslas. Palaikyti tinkamą melioracijos sistemų techninę būklę</t>
  </si>
  <si>
    <t>III.</t>
  </si>
  <si>
    <t>Valdant ekstremalias situacijas, atliktų reikalingų aplinkos tyrimų skaičius (vnt.)</t>
  </si>
  <si>
    <t>Priemonė. Priemonės vandentvarkos objektams projektuoti, statyti, rekonstruoti, remontuoti, eksploatuoti</t>
  </si>
  <si>
    <t>Aplinkosauginių renginių skaičius (vnt.)</t>
  </si>
  <si>
    <t>Uždavinys. Atstatyti gamtinius išteklius</t>
  </si>
  <si>
    <t>Įžuvintų vandens telkinių skaičius (vnt.)</t>
  </si>
  <si>
    <t>3.2.3.</t>
  </si>
  <si>
    <t>Paremta ugniagesių savanorių draugija</t>
  </si>
  <si>
    <t>IV.</t>
  </si>
  <si>
    <t>Sutvarkytų daugiabučių kiemų skaičius (vnt.)</t>
  </si>
  <si>
    <t>Gerbūvio tvarkymas Bukonių seniūnijoje</t>
  </si>
  <si>
    <t>Gerbūvio tvarkymas Šveicarijos seniūnijoje</t>
  </si>
  <si>
    <t>Gerbūvio tvarkymas Ruklos seniūnijoje</t>
  </si>
  <si>
    <t>Priemonė. Prisidėjimas prie Lietuvos automobilių kelių direkcijos lėšomis finansuojamų objektų (netinkamos išlaidos)</t>
  </si>
  <si>
    <t>1.2.13.</t>
  </si>
  <si>
    <t>1.2.14.</t>
  </si>
  <si>
    <t>1.2.15.</t>
  </si>
  <si>
    <t>Priemonė. Virbalų ir Juodmenos kv. elektros linijų eksploatavimas</t>
  </si>
  <si>
    <t>Tikslinių grupių asmenų, gavusių tiesioginės naudos iš investicijų į socialinių paslaugų infrastruktūrą globos namuose skaičius (vnt.)</t>
  </si>
  <si>
    <t>Liftų ir keltuvų, kuriems buvo atlikta aptarnavimo paslauga skaičius (vnt.)</t>
  </si>
  <si>
    <t>2.6.</t>
  </si>
  <si>
    <t>Tikslas. Skatinti savivaldybės teritorijoje esančių pastatų atnaujinimą</t>
  </si>
  <si>
    <t>Renovuotų daugiabučių namų skaičius (vnt.)</t>
  </si>
  <si>
    <t>Paremtų daugiabučių namų bendrijų skaičius (vnt.)</t>
  </si>
  <si>
    <t>Tarybos narių skaičius (vnt.)</t>
  </si>
  <si>
    <t>Įgyvendintų rekomendacijų (proc.)</t>
  </si>
  <si>
    <t>Darželių registravimo programos administravimas (vnt.)</t>
  </si>
  <si>
    <t>Tarybos salės programos administravimas (vnt.)</t>
  </si>
  <si>
    <t>Buhalterinės programos Lobster administravimas (vnt.)</t>
  </si>
  <si>
    <t>Esri programinės įrangos ArGIS administravimas (vnt.)</t>
  </si>
  <si>
    <t>Buhalterinės programos ŽŪ modulio administravimas (vnt.)</t>
  </si>
  <si>
    <t>Interneto ryšys per infrastruktūrą (vnt.)</t>
  </si>
  <si>
    <t>Serverinės, kopijų darymo sistemų, licencijų skaičius (vnt.)</t>
  </si>
  <si>
    <t>Įregistruotų gimimų skaičius (vnt.)</t>
  </si>
  <si>
    <t>Įregistruotų mirčių skaičius (vnt.)</t>
  </si>
  <si>
    <t>Įregistruotų santuokų skaičius (vnt.)</t>
  </si>
  <si>
    <t>Įregistruotų santuokų nutraukimo skaičius (vnt.)</t>
  </si>
  <si>
    <t>Įrašytų civilinės būklės akto įrašo papildymų, pakeitimų, ištaisymų įrašų skaičius (vnt.)</t>
  </si>
  <si>
    <t>Parengtų rekomendacijų skaičius (vnt.)</t>
  </si>
  <si>
    <t>Patikrintų įstaigų skaičius (vnt.)</t>
  </si>
  <si>
    <t>Išduotų archyvo pažymų skaičius (vnt.)</t>
  </si>
  <si>
    <t>Bendras likviduotų įmonių saugomų dokumentų kiekis (m.)</t>
  </si>
  <si>
    <t>Dokumentus perdavusių likviduotų įmonių skaičius (vnt.)</t>
  </si>
  <si>
    <t>Civilinės saugos mokymų skaičius (vnt.)</t>
  </si>
  <si>
    <t>Nemokamai suteiktų teisinės pagalbos konsultacijų skaičius (vnt.)</t>
  </si>
  <si>
    <t>Surašytų prašymų skaičius antrinei teisinei pagalbai gauti (vnt.)</t>
  </si>
  <si>
    <t>Jonavos rajone veikiančių jaunimo ir su jaunimu dirbančių organizacijų skaičius (vnt.)</t>
  </si>
  <si>
    <t>Priemonė.Gyventojų gyvenamosios vietos deklaravimas</t>
  </si>
  <si>
    <t>Suteiktų deklaravimo paslaugų skaičius (vnt.)</t>
  </si>
  <si>
    <t xml:space="preserve">Priemonė.Neveiksnių asmenų būklės peržiūrėjimas </t>
  </si>
  <si>
    <t>Jonavos rajono seniūnijų seniūnaitijų seniūnaičių skaičius (vnt.)</t>
  </si>
  <si>
    <t>Priemonė. Teisinių paslaugų įsigijimas</t>
  </si>
  <si>
    <t>6.1.2.</t>
  </si>
  <si>
    <t>Finansuotų bendruomeninių projektų skaičius (vnt.)</t>
  </si>
  <si>
    <t>Miestų-partnerių skaičius (vnt.)</t>
  </si>
  <si>
    <t>Iš viso:</t>
  </si>
  <si>
    <t>sprendimu Nr. 1TS-</t>
  </si>
  <si>
    <t>Priemonė. Išmaniųjų apyrankių vaikų maitinimui įsigyti</t>
  </si>
  <si>
    <t>Įsigytų išmaniųjų apyrankių skaičius (vnt.)</t>
  </si>
  <si>
    <t>Priemonė. Koordinuotų paslaugų teikimas vaikui ir šeimoms</t>
  </si>
  <si>
    <t>Uždavinys.  Sudaryti sąlygas visuomenei dalyvauti kultūrinėje veikloje</t>
  </si>
  <si>
    <t>Suorganizuotų kultūros renginių skaičius Jonavos mieste (vnt.)</t>
  </si>
  <si>
    <t>Suorganizuotų kultūros renginių skaičius kaimiškosiose seniūnijose (vnt.)</t>
  </si>
  <si>
    <t>Finansuotų  projektų skaičius (vnt.)</t>
  </si>
  <si>
    <t>Viešosios bibliotekos suorganizuotų renginių, parodų skaičius (vnt.)</t>
  </si>
  <si>
    <t>Viešosios bibliotekos įsigytų naujų dokumentų: knygų, serialinių, periodinių  leidinių ir kt. skaičius (egz.)</t>
  </si>
  <si>
    <t>Suorganizuotų renginių muziejuje ir jo skyriuose skaičius (vnt.)</t>
  </si>
  <si>
    <t>Suorganizuotų edukacinių pamokų muziejuje ir jo skyriuose skaičius (val.)</t>
  </si>
  <si>
    <t>Eksponatų skaičius muziejuje (vnt.)</t>
  </si>
  <si>
    <t>Muziejaus siūlomų maršrutų skaičius (ekskursijų paslaugos) (vnt.)</t>
  </si>
  <si>
    <t>Įgyvendinamų projektų skaičius (vnt.)</t>
  </si>
  <si>
    <t>Suorganizuotų teatro renginių skaičius (vnt.)</t>
  </si>
  <si>
    <t>Suorganizuotų tarptautinių ir Respublikinių renginių koncertų ir konkursų skaičius (vnt.)</t>
  </si>
  <si>
    <t>Kultivuojamų sporto šakų skaičius (vnt.)</t>
  </si>
  <si>
    <t>Įvykdytų sporto renginių skaičius (vnt.)</t>
  </si>
  <si>
    <t>Teikiamų sporto paslaugų skaičius (vnt.)</t>
  </si>
  <si>
    <t>Įvykdytų atskirų sporto šakų rajono pirmenybių skaičius (vnt.)</t>
  </si>
  <si>
    <t>Vaikų ir jaunimo ugdymo programų skaičius (vnt.)</t>
  </si>
  <si>
    <t>Vykdytų seniūnijų sporto žaidynių varžybų skaičius (vnt.)</t>
  </si>
  <si>
    <t>Tikslas.  Organizuoti ir užtikrinti socialinę paramą</t>
  </si>
  <si>
    <t>Uždavinys. Organizuoti Lietuvos Respublikos teisės aktuose numatytos paramos bei paslaugų asmenims ir šeimos teikimą</t>
  </si>
  <si>
    <t>Priemonė. Mokėti vienkartines pašalpas</t>
  </si>
  <si>
    <t>Įstaigoje surengtų renginių skaičius (vnt.)</t>
  </si>
  <si>
    <t>Dalyvavimų projektinėje veikloje skaičius  (vnt.)</t>
  </si>
  <si>
    <t>Dalyvavimų kitų rengtuose renginiuose skaičius (vnt.)</t>
  </si>
  <si>
    <t>Priemonė. Socialinė globa asmenims su sunkia negalia</t>
  </si>
  <si>
    <t>Vykdomų  funkcijų skaičius (vnt.)</t>
  </si>
  <si>
    <t xml:space="preserve">Priemonė. Europos pagalbos labiausiai skurstantiems asmenims fondo paramos maisto produktais programa </t>
  </si>
  <si>
    <t>Pritaikytų būstų skaičius neįgaliesiems (vnt.)</t>
  </si>
  <si>
    <t>Priemonė. Projekto "Kompleksinių paslaugų šeimai teikimas Jonavos rajono savivaldybėje" dalinis finansavimas</t>
  </si>
  <si>
    <t xml:space="preserve">3.1.4. </t>
  </si>
  <si>
    <t xml:space="preserve">3.1.5. </t>
  </si>
  <si>
    <t>Priemonė. Socialinė globa asmenims su sunkia negalia (kito pavaldumo globos įstaigose)</t>
  </si>
  <si>
    <t>Šeimų ir asmenų gaunančių kompensacijas už šildymą, karštą vandenį skaičius (vnt.)</t>
  </si>
  <si>
    <t>Priemonė. Mokėti socialines pašalpas</t>
  </si>
  <si>
    <t>Šeimų skaičius gavusių socialinę pašalpą (vnt.)</t>
  </si>
  <si>
    <t>Priemonė. Kelionės išlaidų kompensavimas už lengvatinį keleivių vežimą</t>
  </si>
  <si>
    <t>Terminuoti bilietai su nuolaida (vnt.)</t>
  </si>
  <si>
    <t>Priemonė. Būsto nuomos dalies kompensacijos</t>
  </si>
  <si>
    <t>Savivadybės tuščių butų skaičius (vnt.)</t>
  </si>
  <si>
    <t>Projekto įgyvendinimas (proc.)</t>
  </si>
  <si>
    <t>Tikslas. Stiprinti visuomenės sveikatos priežiūrą, ugdyti sveiką visuomenę</t>
  </si>
  <si>
    <t>Uždavinys.  Skatinti visuomenės aktyvumą sveikatinimo veikloje</t>
  </si>
  <si>
    <t xml:space="preserve">Priemonė. Vykdyti visuomenės sveikatos rėmimo specialiąją programą </t>
  </si>
  <si>
    <t>Straipsniai, informaciniai pranešimai, publikacijos periodiniuose leidiniuose, internete, leidiniai (stendai, plakatai, TV ir radijo laidos, video- ir audiosiužetai (vnt.)</t>
  </si>
  <si>
    <t>Savivaldybės stebėtų visuomenės sveikatos stebėsenos rodiklių skaičius (vnt.)</t>
  </si>
  <si>
    <t>Projekto įgyvendnimas (proc.)</t>
  </si>
  <si>
    <t>Parengtų techninių projektų skaičius (vnt.)</t>
  </si>
  <si>
    <t>Atliktų patikrinimų skaičius (vnt.)</t>
  </si>
  <si>
    <t>2.2.3.</t>
  </si>
  <si>
    <t>Priemonė. UAB "Jonavos autobusai"  keleivių vežimo nuostolių dengimas (subsidijos)</t>
  </si>
  <si>
    <t>Nuostolingų maršrutų skaičius (vnt.)</t>
  </si>
  <si>
    <t>Priemonė. Darbo rinkos politikos rengimas ir įgyvendinimas</t>
  </si>
  <si>
    <t>Uždavinys. Gerinti investicinę aplinką, didinti savivaldybės patrauklumą verslui</t>
  </si>
  <si>
    <t>2.4.2.</t>
  </si>
  <si>
    <t>2.4.3.</t>
  </si>
  <si>
    <t>Suteiktų apdovanojimų skaičius (vnt.)</t>
  </si>
  <si>
    <t>Suteiktos paslaugos verslui (val.)</t>
  </si>
  <si>
    <t>Įrengtų informacinių lentų, kelio ženklų ir krypties rodyklių skaičius (vnt.)</t>
  </si>
  <si>
    <t>Suremontuotų užtvankų skaičius (vnt.)</t>
  </si>
  <si>
    <t>Įsigytų naujų stebėjimo kamerų skaičius (vnt.)</t>
  </si>
  <si>
    <t>Pakeistų gatvių šviestuvų skaičius (vnt.)</t>
  </si>
  <si>
    <t>Įsigyta traktorinė priekaba (vnt.)</t>
  </si>
  <si>
    <t>Sutvirtinta asfalto danga (km)</t>
  </si>
  <si>
    <t>Įrengtų žaidimų, laisvalaikio ir sporto zonų skaičius (vnt.)</t>
  </si>
  <si>
    <t>Renovuota apšvietimo sistema (m)</t>
  </si>
  <si>
    <t>Įrengtų kolumbariumo sekcijų skaičius (vnt.)</t>
  </si>
  <si>
    <t>Įgyvendintų darnaus judumo priemonių skaičius (vnt.)</t>
  </si>
  <si>
    <t xml:space="preserve">Projekto įgyvendinimas (proc.)                                                   </t>
  </si>
  <si>
    <t>1.2.16.</t>
  </si>
  <si>
    <t xml:space="preserve">Priemonė. Jonavos vaikų lopšelio - darželio "Pakalnutė" vidaus patalpų atnaujinimas </t>
  </si>
  <si>
    <t>Suremontuotų klasių grindų plotas (m2)</t>
  </si>
  <si>
    <t>2.1.19.</t>
  </si>
  <si>
    <t>2.1.20.</t>
  </si>
  <si>
    <t>2.1.21.</t>
  </si>
  <si>
    <t>2.1.22.</t>
  </si>
  <si>
    <t>2.1.23.</t>
  </si>
  <si>
    <t>2.1.24.</t>
  </si>
  <si>
    <t>Atnaujintų ikimokyklinio ir/ar priešmokyklinio ugdymo grupių skaičius (vnt.)</t>
  </si>
  <si>
    <t>Sukurtų naujų ikimokyklinio ir priešmokyklinio ugdymo vietų skaičius (vnt.)</t>
  </si>
  <si>
    <t>2.1.25.</t>
  </si>
  <si>
    <t>2.1.26.</t>
  </si>
  <si>
    <t>2.1.27.</t>
  </si>
  <si>
    <t xml:space="preserve">Priemonė. Šilumos efektą sukeliančių dujų ataskaitų ir auditų mokykloms parengimas </t>
  </si>
  <si>
    <t>Parengtų ataskaitų ir auditų skaičius (vnt.)</t>
  </si>
  <si>
    <t>Priemonė. Jonavos kultūros centro veiklos gerinimas</t>
  </si>
  <si>
    <t>2.2.4.</t>
  </si>
  <si>
    <t>Priemonė. Jonavos r. savivaldybės viešosios bibliotekos veiklos gerinimas</t>
  </si>
  <si>
    <t>Priemonė. Jonavos neįgaliųjų veiklos centro veiklos gerinimas</t>
  </si>
  <si>
    <t>2.7.</t>
  </si>
  <si>
    <t>2.7.1.</t>
  </si>
  <si>
    <t>2.7.2.</t>
  </si>
  <si>
    <t>2.7.3.</t>
  </si>
  <si>
    <t>2.7.4.</t>
  </si>
  <si>
    <t>Pastatų skaičius, kuriems atliktas remontas (vnt.)</t>
  </si>
  <si>
    <t>Priemonė. Pastatų Chemikų 136 ir Klaipėdos 15, Jonavoje ir Rukloje, išlaikymas ir tvarkymas</t>
  </si>
  <si>
    <t>Priemonė. Savivaldybei priklausančių statinių remontas</t>
  </si>
  <si>
    <t>Priemonė. Daugiabučių gyvenamųjų namų rėmimo fondas</t>
  </si>
  <si>
    <t>Priemonė. Renovuotų ES paramos lėšomis daugiabučių namų bankrutavusių įmonių  defektų taisymas</t>
  </si>
  <si>
    <t>Daugiabučių namų skaičius, kuriems atlikti defektų taisymai (vnt.)</t>
  </si>
  <si>
    <t>Tikslas. Garantuoti tinkamą Savivaldybės funkcijų atlikimą</t>
  </si>
  <si>
    <t>Kvalifikacijos kėlimo seminarų skaičius (val./1 asm.)</t>
  </si>
  <si>
    <t>Administracijos teikiamų elektroninių paslaugų skaičius (vnt.)</t>
  </si>
  <si>
    <t>Gautų gyventojų prašymų ir pateiktų atsakymų santykis (proc.)</t>
  </si>
  <si>
    <t>Savivaldybės institucijų ir įstaigų, įgyvendinusių paslaugų ir (ar) aptarnavimo kokybei gerinti skirtas priemones, skaičius (vnt.)</t>
  </si>
  <si>
    <t>Savivaldybės institucijų ir įstaigų, darbuotojai, kurie dalyvavo vykdytose veiklose, skirtose stiprinti teikiamų paslaugų ir (ar) aptarnavimo kokybės gerinimui reikalingas kompetencijas, skaičius (vnt.)</t>
  </si>
  <si>
    <t>Priemonė. Civilinės būklės aktų registravimas</t>
  </si>
  <si>
    <t>Priemonė. Socialinių išmokų ir kompensacijų skaičiavimas</t>
  </si>
  <si>
    <t>Suteiktų duomenų skaičius (vnt.)</t>
  </si>
  <si>
    <t>Priemonė. Valstybinės kalbos vartojimo ir taisyklingumo kontrolės vykdymas</t>
  </si>
  <si>
    <t>Priemonė. Archyvinių dokumentų tvarkymas</t>
  </si>
  <si>
    <t xml:space="preserve">Priemonė. Civilinės saugos organizavimas </t>
  </si>
  <si>
    <t>Priemonė. Mobilizacijos administravimas</t>
  </si>
  <si>
    <t xml:space="preserve">Priemonė. Socialinė globa asmenims su sunkia negalia      </t>
  </si>
  <si>
    <t>Uždavinys.  Užtikrinti savivaldybės veiklos viešumą</t>
  </si>
  <si>
    <t>Priemonė. Reprezentuoti Jonavą užsienio valstybių asmenų, delegacijų, svečių ir juos lydinčių asmenų priėmimui ir komandiruotėms, darbo susitikimams, atminimo dovanoms, dalyvavimui labdaros, kultūros, sporto ir kituose visuomeniniuose renginiuose</t>
  </si>
  <si>
    <t>Priemonė. Rengti fotoparodas savivaldybės administracijos pastato II a.</t>
  </si>
  <si>
    <t>Priemonė. Teikti informaciją respublikinei, rajono spaudai bei televizijai ir savivaldybės reprezentaciniam filmui apie Jonavos rajoną</t>
  </si>
  <si>
    <t xml:space="preserve">Sudarytų sutarčių skaičius su rajonine spauda (vnt.)  </t>
  </si>
  <si>
    <t xml:space="preserve">Sudarytų sutarčių skaičius su informaciniais portalais (vnt.)  </t>
  </si>
  <si>
    <t xml:space="preserve">Sudarytų sutarčių skaičius su respublikine spauda (vnt.)  </t>
  </si>
  <si>
    <t xml:space="preserve">Sudarytų sutarčių skaičius su rajono televizija(vnt.)  </t>
  </si>
  <si>
    <t>Uždavinys. Plėtojant dalykinius santykius ir ryšius su tarptautinėmis ir vietinėmis institucijomis bei organizacijomis, stiprinti rajono įvaizdį</t>
  </si>
  <si>
    <t>Programų, kuriose dalyvauja Savivaldybė, skaičius (vnt.)</t>
  </si>
  <si>
    <t>Uždavinys. Užtikrinti finansavimą nenumatytoms išlaidoms dengti</t>
  </si>
  <si>
    <t>3.3.2.</t>
  </si>
  <si>
    <t>Rezervo panaudojimas (proc.)</t>
  </si>
  <si>
    <t>Įsipareigojimų vykdymas (proc.)</t>
  </si>
  <si>
    <t>Priemonė. Tarptautinio bendradarbiavimo projektų su kitomis valstybėmis dalinis finansavimas</t>
  </si>
  <si>
    <t xml:space="preserve">Priemonė. Galimybių studijų, investicinių projektų ir kitų dokumentų rengimas </t>
  </si>
  <si>
    <t>Parengtų galimybių studijų skaičius (vnt.)</t>
  </si>
  <si>
    <t>Parengtų investicinių projektų skaičius (vnt.)</t>
  </si>
  <si>
    <t>Tikslas. Kurti palankią aplinką rajono nevyriausybinėms organizacijoms (įskaitant ir vietos bendruomenines organizacijas), užtikrinant tinkamas jų veiklos ir plėtros sąlygas</t>
  </si>
  <si>
    <t>7.1.</t>
  </si>
  <si>
    <t>Uždavinys. Sudaryti sąlygas ilgalaikei rajono nevyriausybinių organizacijų (įskaitant ir vietos bendruomenines organizacijas) plėtrai</t>
  </si>
  <si>
    <t>7.1.1.</t>
  </si>
  <si>
    <t>7.1.2.</t>
  </si>
  <si>
    <t>7.1.3.</t>
  </si>
  <si>
    <t>Priemonė. Bendruomenių projektų dalinis finansavimas</t>
  </si>
  <si>
    <t>Įgyvendinamų projektų skaičius Jonavos rajone (vnt.)</t>
  </si>
  <si>
    <t>Priemonė. Miesto stadiono žiūrovų tribūnų ir bėgimo takų įrengimas</t>
  </si>
  <si>
    <t>Teikiama parama bendruomenėms</t>
  </si>
  <si>
    <t xml:space="preserve">Pasirašyta teisinių paslaugų sutartis (advokatai, anstoliai) </t>
  </si>
  <si>
    <r>
      <t xml:space="preserve">SL </t>
    </r>
    <r>
      <rPr>
        <sz val="11"/>
        <rFont val="Times New Roman"/>
        <family val="1"/>
        <charset val="186"/>
      </rPr>
      <t>Skolintos lėšos</t>
    </r>
  </si>
  <si>
    <t>Vaikų vasaros stovyklų organizavimas, vasaros atostogų metu ir vaikų socializacijos projektų organizavimas per visus mokslo metus ir mokinių vasaros atostogu metu. Neformaliojo vaikų švietimo programų įgyvendinimas</t>
  </si>
  <si>
    <t xml:space="preserve">Valstybinės šalpos neįgaliesiems išmokų mokėjimas </t>
  </si>
  <si>
    <t xml:space="preserve">Vienkartinių pašalpų mokėjimas seniūnijose (vienkartinės išmokos)  </t>
  </si>
  <si>
    <t>Trumpalaikės socialinės globos paslaugos ir lėšos žmogaus palaikų gabenimui patanatominio tyrimo ar ekspertizės atlikimui</t>
  </si>
  <si>
    <t>Kompleksinės pagalbos šeimoms paslaugos</t>
  </si>
  <si>
    <t>Socialinės pašalpos</t>
  </si>
  <si>
    <t xml:space="preserve">Vežėjų išlaidų (negautų pajamų), susijusių su lengvatų taikymu, kompensavimas </t>
  </si>
  <si>
    <t xml:space="preserve">Įgyvendinamas projektas "Kompleksinių paslaugų šeimai teikimas Jonavos rajono savivaldybėje" </t>
  </si>
  <si>
    <t>Įgyvendinamas projektas "Socialinio būsto plėtra Jonavos rajono savivaldybėje"</t>
  </si>
  <si>
    <t>Mokinių sveikatos ugdymo ir mokymo renginiai, mokyklos bendruomenės informuotumo didinimas sveikatos stiprinimo klausimais ir mokinių visuomenės sveikatos priežiūra</t>
  </si>
  <si>
    <t>Įgyvendinamas projektas "Ambulatorinių sveikatos priežiūros paslaugų prieinamumo gerinimas Jonavos rajone tuberkulioze sergantiems asmenims"</t>
  </si>
  <si>
    <t xml:space="preserve">Įgyvendinamas projektas "Visuomenės sveikatos stiprinimas Jonavos rajone" </t>
  </si>
  <si>
    <t>UAB "Jonavos autobusai" keleivinio kelių transporto kontrolės paslaugos</t>
  </si>
  <si>
    <t>Konkurso "Sukurta Jonavoje" organizavimas</t>
  </si>
  <si>
    <t xml:space="preserve">Pralaidų ir griovių remontas </t>
  </si>
  <si>
    <t xml:space="preserve">Melioracijos griovių, pralaidų, tiltų remontas </t>
  </si>
  <si>
    <t>Rekonstruotų upelių griovių priežiūra</t>
  </si>
  <si>
    <t>Mokestis LSA</t>
  </si>
  <si>
    <t>Fotoparodos savivaldybės administracijos pastato II a.</t>
  </si>
  <si>
    <t>Informacijos teikimas televizijos laidoms, naujienų agentūroms, spaudai ir kt.</t>
  </si>
  <si>
    <t xml:space="preserve">Jonavos vaikų lopšelio - darželio "Saulutė" pastato ir aplinkos atnaujinimas </t>
  </si>
  <si>
    <t xml:space="preserve">Jonavos r. Kulvos Abraomo Kulviečio mokyklos pastato atnaujinimas </t>
  </si>
  <si>
    <t>Miesto stadiono žiūrovų tribūnų ir bėgimo takų įrengimas</t>
  </si>
  <si>
    <t>Jonavos neįgaliųjų veiklos centro pastato atnaujinimas</t>
  </si>
  <si>
    <t>VšĮ Jonavos ligoninės pastato ir aplinkos atnaujinimas</t>
  </si>
  <si>
    <t>NVO kultūrinių projektų finansavimas</t>
  </si>
  <si>
    <t xml:space="preserve">Galimybių studijų, investicinių projektų ir kitų dokumentų rengimas </t>
  </si>
  <si>
    <t>Priemonė. Žmonių su proto ir kompleksine negalia globos užtikrinimas ir darbinis ugdymas Jonavos Neįgaliųjų veiklos centre</t>
  </si>
  <si>
    <t>Priemonė. Apmokėti senyvo amžiaus, asmenų su negalia, socialinės rizikos asmenų globos išlaikymą kito pavaldumo globos įstaigose</t>
  </si>
  <si>
    <t>Priemonė. Įgyvendinti konkursą "Sukurta Jonavoje"</t>
  </si>
  <si>
    <t>JONAVOS RAJONO SAVIVALDYBĖS  2019 -ŲJŲ  METŲ STRATEGINIO VEIKLOS PLANO ATASKAITA</t>
  </si>
  <si>
    <t>Renginių, skirtų pagalbai šeimoms, skaičius (vnt.)</t>
  </si>
  <si>
    <t>Priemonė. Brandos egzaminų organizavimas ir vykdymas</t>
  </si>
  <si>
    <t>Žmonių, atsakingų už brandos egzaminų administravimą, vykdymą ir vertinimą, skaičius (asm.)</t>
  </si>
  <si>
    <t>Priemonė. MR pedagoginių darbuotojų tarifinių atlygių koeficientų skirtumų išlyginimo mokyklose finansavimas</t>
  </si>
  <si>
    <t>Mokinių, gaunančių stipendijas, skaičius (asm.)</t>
  </si>
  <si>
    <t>Priemonė. ES parama neformaliajam vaikų švietimui</t>
  </si>
  <si>
    <t>Paremtų programų skaičius (vnt.)</t>
  </si>
  <si>
    <t>Priemonė. Pedagoginės - psichologinės tarnybos ugdymo reikmių finansavimas</t>
  </si>
  <si>
    <t>3.1.10.</t>
  </si>
  <si>
    <t>Įsigytos įrangos skaičius (vnt.)</t>
  </si>
  <si>
    <t>Priemonė. NVO kultūrinių projektų finansavimas ir skatinimas</t>
  </si>
  <si>
    <t>Uždavinys. Ugdyti meninę veiklą</t>
  </si>
  <si>
    <t>Meno mokyklą lankančių vaikų skaičius (asm.)</t>
  </si>
  <si>
    <t>Tikslas. Užtikrinti kūno kultūros ir sporto centro funkcionavimą, jo strateginių tikslų vykdymą bei didinti gyventojų fizinį aktyvumą</t>
  </si>
  <si>
    <t>Uždavinys. Plėtoti kūno kultūrą ir sportą</t>
  </si>
  <si>
    <t>Priemonė. Ugdymo aplinkos finansavimas Jonavos Kūno kultūros ir sporto centre</t>
  </si>
  <si>
    <t>Sportu užsiiminėjančių moksleivių skaičius (asm.)</t>
  </si>
  <si>
    <t>Mėgėjų sportuojančiųjų skaičius (asm.)</t>
  </si>
  <si>
    <t>Uždavinys. Įgyvendinti sveikatingumo ir sporto programą</t>
  </si>
  <si>
    <t>Priemonė. Sąlygų sudarymas rajono gyventojams kultivuoti įvairias sporto šakas ir plėtoti kūno kultūrą bei sportą</t>
  </si>
  <si>
    <t>Priemonė. Sportininkų ir trenerių skatinimas už pasiektus aukštus rezultatus</t>
  </si>
  <si>
    <t>Priemonė. Sporto klubų veiklos rėmimas</t>
  </si>
  <si>
    <t>Mokinių, dalyvaujančių bendrojo lavinimo mokyklų  žaidynėse, skaičius (asm.)</t>
  </si>
  <si>
    <t>Bendrojo lavinimo mokyklų  žaidynių, atskirų sporto šakų varžybų skaičius  (vnt.)</t>
  </si>
  <si>
    <t>Priemonė. Kaimo seniūnijų sporto organizavimas</t>
  </si>
  <si>
    <t>Sporto organizatorių skaičius (vnt.)</t>
  </si>
  <si>
    <t>Šeimų, gaunančių globos (rūpybos) išmokas, skaičius (vnt.)</t>
  </si>
  <si>
    <t>Išmokas įsikūrimui gavusių skaičius (asm.)</t>
  </si>
  <si>
    <t>Išmokas gavusių nėščiųjų skaičius (asm.)</t>
  </si>
  <si>
    <t>Priemonė. Mokėti tikslines kompensacijas</t>
  </si>
  <si>
    <t>Tikslinių kompensacijų vidutinis gavėjų skaičius (asm.)</t>
  </si>
  <si>
    <t>Neįgaliųjų, gaunančių išmokas, skaičius (asm.)</t>
  </si>
  <si>
    <t>Vienkartines pašaltas gaunančių asmenų skaičius (asm.)</t>
  </si>
  <si>
    <t>Priemonė. Išlaikyti socialines slaugos lovas</t>
  </si>
  <si>
    <t>Asmenų, kuriems buvo suteikta paslauga, skaičius (asm.)</t>
  </si>
  <si>
    <t>Priemonė. Įgyvendinti Ruklos parapijos Carito vaikų dienos centro programą</t>
  </si>
  <si>
    <t>Mokinių, gaunančių nemokamą maitinimą skaičius (asm.)</t>
  </si>
  <si>
    <t>Priemonė. Aprūpinti mokinius mokinio reikmenimis</t>
  </si>
  <si>
    <t>Priemonė. Remti mirties atveju</t>
  </si>
  <si>
    <t>Asmenų, už kuriuos skirta parama, skaičius (asm.)</t>
  </si>
  <si>
    <t>Mokinių nemokamai gaunančių mokymosi priemones, skaičius (asm.)</t>
  </si>
  <si>
    <t>Uždavinys. Vystyti socialines paslaugas mieste</t>
  </si>
  <si>
    <t>Priemonė. Erasmus+ projekto "Communication is the path to integration" įgyvendinimas</t>
  </si>
  <si>
    <t>Priemonė. Nordplus Adult projekto "Save the World green" įgyvendinimas</t>
  </si>
  <si>
    <t xml:space="preserve">Priemonė. Projekto "Atrask ir parodyk save" įgyvendinimas </t>
  </si>
  <si>
    <t xml:space="preserve">Priemonė. Projekto "Gerovės užtikrinimas teikiant kompleksines paslaugas protinę ir psichinę negalią turintiems asmenims ir jų artimiesiems" įgyvendinimas </t>
  </si>
  <si>
    <t>Senyvo amžiaus asmenų ir asmenų su negalia, gaunančių socialines paslaugas, skaičius (asm.)</t>
  </si>
  <si>
    <t>Asmenų  su sunkia negalia, gaunančių socialines paslaugas skaičius (asm.)</t>
  </si>
  <si>
    <t>Priemonė. Socialinė priežiūra šeimoms, patiriančioms socialinę riziką</t>
  </si>
  <si>
    <t>Socialinės priežiūros paslaugas gaunančių šeimų skaičius (vnt.)</t>
  </si>
  <si>
    <t>2.3.6.</t>
  </si>
  <si>
    <t xml:space="preserve">Priemonė. Projekto „Integralios pagalbos teikimas Jonavos rajone“ įgyvendinimas  </t>
  </si>
  <si>
    <t>Socialines paslaugas gavę tikslinių grupių asmenų skaičius (asm.)</t>
  </si>
  <si>
    <t>2.3.7.</t>
  </si>
  <si>
    <t xml:space="preserve">Priemonė. Projekto „Kompleksinių paslaugų asmenims, patyrusiems socialinę atskirtį, teikimas – sėkmingos integracijos garantas“ įgyvendinimas </t>
  </si>
  <si>
    <t>Priemonė. Teikti socialinę globą likusiems be tėvų vaikams Jonavos Vaiko ir šeimos gerovės centre</t>
  </si>
  <si>
    <t>Jonavos Vaiko ir šeimos gerovės centro paslaugų gavėjų skaičius (asm.)</t>
  </si>
  <si>
    <t>Bendruomeninių vaikų globos namų paslaugų gavėjų skaičius (asm.)</t>
  </si>
  <si>
    <t>Priemonė. Projekto "Bendruomeninių vaikų globos namų ir vaikų dienos centrų tinklo plėtra" įgyvendinimas</t>
  </si>
  <si>
    <t>Nakvynės namų paslaugų gavėjų skaičius (asm.)</t>
  </si>
  <si>
    <t>Socialines paslaugas gavę tikslinių grupių asmenų, skaičius (asm.)</t>
  </si>
  <si>
    <t>Išlaikomų senyvo amžiaus, asmenų su negalia (asm.)</t>
  </si>
  <si>
    <t>Išlaikomų senyvo amžiaus, asmenų su sunkia negalia skaičius (asm.)</t>
  </si>
  <si>
    <t>Išlaikomų vaikų, netekusių tėvų  globos įstaigose skaičius (asm.)</t>
  </si>
  <si>
    <t>Uždavinys. Kompensuoti gyventojams, turintiems mažas pajamas, būsto šildymo išlaidas, išlaidas šaltam vandeniui bei nuotėkoms ir išlaidas karštam vandeniui ir kt.</t>
  </si>
  <si>
    <t>Asmenys, gaunantys būsto nuomos dalinę kompensaciją (asm.)</t>
  </si>
  <si>
    <t>Priemonė. Savivaldybės tuščių butų išlaikymas, iškeldinimo išlaidos, išlaidos už komunalinius mokesčius</t>
  </si>
  <si>
    <t>Iškeldintų žmonių skaičius (asm.)</t>
  </si>
  <si>
    <t>Priemonė. Projekto "Socialinio būsto plėtra Jonavos rajono savivaldybėje" įgyvendinimas</t>
  </si>
  <si>
    <t>Priemonė. Užtikrinti Visuomenės sveikatos stiprinimą ir stebėseną</t>
  </si>
  <si>
    <t>Sveikatos ugdymo ir mokymo renginių (paskaitose, pamokose, diskusijose, debatuose, konkursuose, viktorinose, varžybose ir kituose viešuose renginiuose) dalyvių skaičius (asm.)</t>
  </si>
  <si>
    <t>Paskaitos, pamokos, diskusijos, debatai, konkursai, viktorinos, varžybos ir kiti viešieji renginiai (vnt.)</t>
  </si>
  <si>
    <t>Priemonė. Finansuoti visuomenės sveikatos priežiūrą Jonavos rajono savivaldybės švietimo įstaigose</t>
  </si>
  <si>
    <t>Priemonė. Projekto "Jonavos rajono savivaldybės gyventojų ligų profilaktikos, prevencijos ir ankstyvosios diagnostikos paslaugų kokybės ir prieinamumo gerinimas" įgyvendinimas</t>
  </si>
  <si>
    <t>Gyventojų, turinčių galimybę pasinaudoti pagerintomis sveikatos priežiūros paslaugomis,  skaičius (asm.)</t>
  </si>
  <si>
    <t>Priemonė. Projekto "Ambulatorinių sveikatos priežiūros paslaugų prieinamumo gerinimas Jonavos rajone tuberkulioze sergantiems asmenims" įgyvendinimas</t>
  </si>
  <si>
    <t>Tuberkulioze sergančių pacientų, kuriems buvo suteiktos socialinės paramos priemonės (maisto talonų dalijimas ir kelionės išlaidų kompensavimas) tuberkuliozės ambulatorinio gydymo metu, skaičius (asm.)</t>
  </si>
  <si>
    <t>Priemonė. Projekto "Visuomenės sveikatos stiprinimas Jonavos rajone" įgyvendinimas</t>
  </si>
  <si>
    <t xml:space="preserve">Tikslinių grupių asmenų, kurie dalyvavo informavimo, švietimo ir mokymo renginiuose bei sveikatos raštingumą dindinčiose veiklose, skaičius (asm.) </t>
  </si>
  <si>
    <t>Priemonė. Projekto "Jaunimui palankių paslaugų modelio diegimas Jonavos savivaldybėje" įgyvendinimas</t>
  </si>
  <si>
    <t>Jaunų asmenų (14-29 metų), kuriems suteiktos JPSPP, skaičius (asm.)</t>
  </si>
  <si>
    <t>Priemonė. Savižudybių prevencijos prioritetų nustatymas, ilgojo ir trumpojo laikotarpių savižudybių prevencijos priemonių planavimas</t>
  </si>
  <si>
    <t>Asmenų skaičius dalyvavusių savižudybių prevencijos renginiuose (asm.)</t>
  </si>
  <si>
    <t>Priemonė. Teritorijų planavimo dokumentų rengimas, techninių projektų ir ekspertizių rengimas, inžinerinių paslaugų teikimas ir kadastrinių matavimų atlikimas</t>
  </si>
  <si>
    <t xml:space="preserve">Parengta Jonavos rajono savivaldybės teritorijos bendrojo plano keitimo darbų programa (vnt.)                                                                  </t>
  </si>
  <si>
    <t>Įsigyti duomenys (kompl. )</t>
  </si>
  <si>
    <t>Parengtų projektų skaičius (vnt.)</t>
  </si>
  <si>
    <t>Tikslas. Skatinti smulkaus ir vidutinio verslo bei ūkininkų ūkių plėtrą, gyventojų verslumą, gerinti investicinę aplinką</t>
  </si>
  <si>
    <t>Priemonė. Beprocentinių paskolų išdavimas ir negrąžintinos finansinės paramos teikimas smulkioms ir vidutinėms įmonėms bei ūkininkams</t>
  </si>
  <si>
    <t>Priemonė. Keleivinio kelių transporto kontrolės paslauga, atliekant patikrinimus</t>
  </si>
  <si>
    <t>Įdarbintų asmenų skaičius (asm.)</t>
  </si>
  <si>
    <t>Priemonė. Verslo konsultavimo paslaugų teikimas</t>
  </si>
  <si>
    <t>Priemonė. Renginių žemės ūkio tematika programos įgyvendinimas</t>
  </si>
  <si>
    <t xml:space="preserve">Priemonė.  Gyvenviečių drenažo sistemų remontas </t>
  </si>
  <si>
    <t>Priemonė. Avarinės būklės melioracijos statinių remontas</t>
  </si>
  <si>
    <t>Suremontuotų tiltų skaičius (vnt.)</t>
  </si>
  <si>
    <t>Suremontuotų pralaidų skaičius (vnt.)</t>
  </si>
  <si>
    <t>Priemonė. Hidrotechninių statinių (užtvankų) rekonstrukcija</t>
  </si>
  <si>
    <t>Priemonė. Hidrotechninių statinių (užtvankų) priežiūra ir remontas</t>
  </si>
  <si>
    <t>Prižiūrimų užtvankų skaičius rajone (vnt.)</t>
  </si>
  <si>
    <t>Prižiūrimų užtvankų skaičius mieste (vnt.)</t>
  </si>
  <si>
    <t>Priemonė. Melioracijos griovių, pralaidų priežiūra ir remontas</t>
  </si>
  <si>
    <t xml:space="preserve">Suremontuotų griovių skaičius (vnt.)                                                                            </t>
  </si>
  <si>
    <t>Priemonė. Melioracijos statinių techninių projektų, eksploatavimo taisyklių parengimas</t>
  </si>
  <si>
    <t>Priemonė. Objektų registravimas ir registracijos tikslinimas</t>
  </si>
  <si>
    <t>Įregistruotų ir registruotų patikslintų objektų skaičius (vnt.)</t>
  </si>
  <si>
    <t>Gautų statybos leidimų skaičius (vnt.)</t>
  </si>
  <si>
    <t xml:space="preserve">Uždavinys. Gerinti aplinkos kokybę ir užtikrinti jos apsaugą </t>
  </si>
  <si>
    <t>Priemonė. Priemonės, kuriomis kompensuojama aplinkai daroma žala (ekstremalių situacijų valdymas, reikalingi aplinkos tyrimai ir pan.)</t>
  </si>
  <si>
    <t>Priemonė. Invazinių Lietuvoje rūšių sąraše esančių rūšių (Sosnovskio barštis ir pan.) kontrolės įgyvendinimo darbai</t>
  </si>
  <si>
    <t>Invazinių Lietuvoje rūšių sąraše esančių rūšių (Sosnovskio barštis ir pan.) kontrolės įgyvendinimo darbai, išvalytos teritorijos plotas (ha)</t>
  </si>
  <si>
    <t>Jonavos rajono vandens tiekimo ir nuotekų tvarkymo infrastruktūros specialiojo plano pakeitimas (vnt.)</t>
  </si>
  <si>
    <t>Prijungtų privačių namų prie centralizuoto nuotekų surinkimo sistemos skaičius (vnt.)</t>
  </si>
  <si>
    <t>Priemonė. Priemonės atliekų tvarkymo infrastruktūros plėtrai</t>
  </si>
  <si>
    <t>Įrengtų tūrio daviklių atliekų pusiau požeminiuose konteineriuose skaičius (vnt.)</t>
  </si>
  <si>
    <t>Atnaujintas nekilnojamojo turto registras (vnt.)</t>
  </si>
  <si>
    <t>Atliekų surinkimo priemonių komplektų įsigijimas (kompl.)</t>
  </si>
  <si>
    <t>Priemonė. Priemonės atliekų tvarkymui, kurių turėtojo neįmanoma nustatyti arba kuris nebeegzistuoja</t>
  </si>
  <si>
    <t>Sutvarkytų  užterštų teritorijų  skaičius (vnt.)</t>
  </si>
  <si>
    <t>Surinktų padangų kiekis (t)</t>
  </si>
  <si>
    <t>Priemonė. Projekto "Pirminio rūšiavimo infrastruktūros plėtra Jonavos rajone ir atliekų rūšiavimo skatinimas" dalinis įgyvendinimas</t>
  </si>
  <si>
    <t>Įsigytų konteinerių skaičius  (vnt.)</t>
  </si>
  <si>
    <t>Uždavinys. Siekti išvengti medžiojamųjų gyvūnų daromos žalos miškui</t>
  </si>
  <si>
    <t>Želdinių apsauga tepant repelentais plotas (ha)</t>
  </si>
  <si>
    <t>Uždavinys. Didinti visuomenės informavimą apie aplinkos apsaugą ir ugdyti ekologiškai mąstančią visuomenę</t>
  </si>
  <si>
    <t>Priemonė. Aplinkosauginis visuomenės švietimas ir kvalifikacijos kėlimas</t>
  </si>
  <si>
    <t>Informacinių leidinių skaičius  (vnt.)</t>
  </si>
  <si>
    <t xml:space="preserve">Priemonė. Tvenkinių įžuvinimas </t>
  </si>
  <si>
    <t>Priemonė. Medžių atsodinimas ir naujų želdynų kūrimas</t>
  </si>
  <si>
    <t>Apželdintų medžiais ir želdiniais teritorijų skaičius (vnt.)</t>
  </si>
  <si>
    <t>1.4.2.</t>
  </si>
  <si>
    <t>1.4.3.</t>
  </si>
  <si>
    <t>Priemonė. Jonavos rajono savivaldybės teritorijoje esančių želdynų (parkų ir skverų) inventorizavimas</t>
  </si>
  <si>
    <t>Atlikta inventorizacija (vnt.)</t>
  </si>
  <si>
    <t>Tikslas. Užtikrinti viešąją tvarką ir gyventojų saugumą</t>
  </si>
  <si>
    <t xml:space="preserve">Uždavinys. Užtikrinti viešąją tvarką </t>
  </si>
  <si>
    <t xml:space="preserve">Įgyvendintų priemonių skaičius (vnt.)                                                                                                                            </t>
  </si>
  <si>
    <t>Priemonė. Vaizdo kamerų priežiūra ir plėtra</t>
  </si>
  <si>
    <t xml:space="preserve">Eksploatuojamų vaizdo kamerų skaičius (vnt.)                                                                                                     </t>
  </si>
  <si>
    <t>Priemonė. Perspėjimo sirenomis sistemos modernizavimas</t>
  </si>
  <si>
    <t>Modernizuota perspėjimo sirenomis sistema (vnt.)</t>
  </si>
  <si>
    <t xml:space="preserve">Uždavinys. Sudaryti sąlygas Jonavos rajono priešgaisrinės tarnybos misijai atlikti  </t>
  </si>
  <si>
    <t>Priemonė. Prevencinės programos "Jonava be gaisrų"  įgyvendinimas</t>
  </si>
  <si>
    <t>Priemonė. Remti ugniagesių savanorių draugiją</t>
  </si>
  <si>
    <t xml:space="preserve">Priešgaisrinė sauga </t>
  </si>
  <si>
    <t>Įsigyto inventoriaus skaičius (vnt.)</t>
  </si>
  <si>
    <t>Paremta ugniagesių savanorių draugija (vnt.)</t>
  </si>
  <si>
    <t>Tikslas. Užtikrinti viešosios rajono infrastruktūros objektų priežiūrą, remontą bei viešųjų paslaugų teikimą</t>
  </si>
  <si>
    <t>Uždavinys. Organizuoti ir kontroliuoti komunalinių bei energetinių objektų priežiūros darbus seniūnijose, įsigyti reikiamą įrangą bei inventorių, teikti kitas seniūnijų viešojo ūkio paslaugas</t>
  </si>
  <si>
    <t>Priemonė. Savivaldybės kaimo seniūnijų komunalinio ūkio tarnybų išlaikymas</t>
  </si>
  <si>
    <t>Komunalinio ūkio tarnybų pareigybių skaičius (vnt.)</t>
  </si>
  <si>
    <t>Priemonė. Seniūnijų viešojo ūkio tvarkymas (viešųjų erdvių, kapinių, viešųjų pastatų priežiūra, gatvių valymas, gatvių apšvietimas ir kt.)</t>
  </si>
  <si>
    <t>Gatvių šviestuvų skaičius (vnt.)</t>
  </si>
  <si>
    <t>Įsigytos šienavimo technikos skaičius (vnt.)</t>
  </si>
  <si>
    <t>Renovuotų apšvietimo linijų ilgis (m)</t>
  </si>
  <si>
    <t>Įsigytas prikabinamas traktorinis greideris (vnt.)</t>
  </si>
  <si>
    <t>Sutvarkyta kapinių tvora (vnt.)</t>
  </si>
  <si>
    <t>Įrengtų poilsio suoliukų su šiukšliadėžėmis skaičius (vnt.)</t>
  </si>
  <si>
    <t>Pėsčiųjų ir dviračių takų apšvietimo įrengimas (vnt.)</t>
  </si>
  <si>
    <t>Įrengti (atnaujinti) laiptai (vnt.)</t>
  </si>
  <si>
    <t>Aptvertos dirbtuvių teritorijos ilgis (m)</t>
  </si>
  <si>
    <t>Įsigytas konteinerinis sandėlis (vnt.)</t>
  </si>
  <si>
    <t>Atnaujintų žaidimų ir laisvalaikio zonų skaičius (vnt.)</t>
  </si>
  <si>
    <t>Pažvyruotų kelių ilgis (km)</t>
  </si>
  <si>
    <t>Parengtas apšvietimo projektas (vnt.)</t>
  </si>
  <si>
    <t>Atnaujinto pėsčiųjų tako ilgis (m)</t>
  </si>
  <si>
    <t>Įsigyti priedai vejos traktoriui (vnt.)</t>
  </si>
  <si>
    <t>Įrengta automobilių stovėjimo aikštelė (m2)</t>
  </si>
  <si>
    <t>Atnaujintų automobilių stovėjimo aikštelių skaičius (vnt.)</t>
  </si>
  <si>
    <t>Sutvarkytas seniūnijos pastatas (vnt.)</t>
  </si>
  <si>
    <t>Įrengti apšvietimo stulpai (vnt.)</t>
  </si>
  <si>
    <t>Renovuotas bendruomenės namų pastatas (vnt.)</t>
  </si>
  <si>
    <t>Įrengtas takas (m2)</t>
  </si>
  <si>
    <t>Uždavinys. Atlikti transporto ir susisiekimo infrastruktūros priežiūrą, remontą, įrengimą</t>
  </si>
  <si>
    <t xml:space="preserve">Priemonė. Kaimo seniūnijų (Bukonių, Ruklos, Šveicarijos, Upininkų, Užusalių, Žeimių) žvyrkelių remontas </t>
  </si>
  <si>
    <t>Seniūnijų skaičius, kuriose atliktas žvyrkelių remontas (vnt.)</t>
  </si>
  <si>
    <t>Priemonė. Projekto "Darnaus judumo priemonių diegimas Jonavos mieste" įgyvendinimas</t>
  </si>
  <si>
    <t>Priemonė. Dviračių tako nuo Taurostos g. iki AB "Achema" įrengimas</t>
  </si>
  <si>
    <t>Įrengto dviračių tako ilgis (km.)</t>
  </si>
  <si>
    <t>Dviračių tako įrengimas (proc.)</t>
  </si>
  <si>
    <t>Priemonė. Dotacinis dalinis grąžinimas projekto "Jonavos m. Vasario 16-osios, A. Kulviečio, Chemikų gatvių rekonstrukcija, įrengiant modernias eismo saugos priemones" įgyvendinimo nuosavam indėliui užtikrinti</t>
  </si>
  <si>
    <t>Grąžinta dotacija (proc.)</t>
  </si>
  <si>
    <t>Parengtas techninis projektas (vnt.)</t>
  </si>
  <si>
    <t>Įrengtų elektromobilių įkrovimo stotelių skaičius (vnt.)</t>
  </si>
  <si>
    <t>Uždavinys. Užtikrinti kitos rajono infrastruktūros priežiūrą, remontą, įrengimą</t>
  </si>
  <si>
    <t xml:space="preserve">1.3.1. </t>
  </si>
  <si>
    <t>Priemonė. Liftų ir keltuvų aptarnavimas bei priežiūra</t>
  </si>
  <si>
    <t xml:space="preserve">1.3.2. </t>
  </si>
  <si>
    <t xml:space="preserve">1.3.3. </t>
  </si>
  <si>
    <t>Priemonė. Projekto "Elektromobilių įkrovimo prieigų tinklo kūrimas Jonavos mieste" įgyvendinimas</t>
  </si>
  <si>
    <t>Priemonė. Projekto "Jonavos, Kėdainių ir Raseinių rajonų savivaldybės jungiančių trasų ir turizmo maršrutų informacinės infrastruktūros plėtra" įgyvendinimas</t>
  </si>
  <si>
    <t>Eksploatuotų Virbalų ir Juodmenos kv. elektros linijos (vnt.)</t>
  </si>
  <si>
    <t>Tikslas. Tvarkyti ir prižiūrėti Savivaldybei priklausančius pastatus, statinius, jų teritorijas</t>
  </si>
  <si>
    <t>Uždavinys. Atnaujinti ir modernizuoti savivaldybės švietimo pastatus, jų teritorijas, vykdyti švietimo infrastruktūros atnaujinimo ir įrengimo projektus</t>
  </si>
  <si>
    <t>Priemonė. Jonavos vaikų lopšelio - darželio "Dobilas" išorės ir vidaus patalpų remontas, įrangos įsigijimas</t>
  </si>
  <si>
    <t>Įsigytos virtuvės įrangos skaičius (vnt.)</t>
  </si>
  <si>
    <t>Įsigytų baldų komplektų skaičius (kompl.)</t>
  </si>
  <si>
    <t>Įsigytos kompiuterinės technikos skaičius (kompl.)</t>
  </si>
  <si>
    <t>Priemonė. Jonavos vaikų lopšelio - darželio "Saulutė" išorės ir vidaus patalpų atnaujinimas</t>
  </si>
  <si>
    <t>Suremontuotų laiptinių skaičius (vnt.)</t>
  </si>
  <si>
    <t xml:space="preserve">Priemonė. Jonavos vaikų lopšelio - darželio "Lakštingalėlė" išorės ir vidaus patalpų atnaujinimas </t>
  </si>
  <si>
    <t>Suremontuotos patalpos (m2)</t>
  </si>
  <si>
    <t>Įrengtų pamaišymo vožtuvų skaičius (vnt.)</t>
  </si>
  <si>
    <t>Atnaujinta teritorijos danga (m2)</t>
  </si>
  <si>
    <t>Pakeista lauko žaidimo aikštelių danga (m2)</t>
  </si>
  <si>
    <t xml:space="preserve">Priemonė. Jonavos lopšelio - darželio "Bitutė" išorės ir vidaus patalpų atnaujinimas </t>
  </si>
  <si>
    <t xml:space="preserve">Priemonė. Jonavos r. Upninkų pagrindinės mokyklos išorės ir vidaus patalpų atnaujinimas </t>
  </si>
  <si>
    <t>Pastatytas garažas (vnt.)</t>
  </si>
  <si>
    <t xml:space="preserve">Priemonė. Jonavos Raimundo Samulevičiaus progimnazijos išorės ir vidaus patalpų atnaujinimas </t>
  </si>
  <si>
    <t>Suremontuotų patalpų plotas (m2)</t>
  </si>
  <si>
    <t>Įrengtų vaikų žaidimo aikštelių skaičius (vnt.)</t>
  </si>
  <si>
    <t xml:space="preserve">Priemonė. Jonavos J.Vareikio progimnazijos išorės ir vidaus patalpų atnaujinimas </t>
  </si>
  <si>
    <t xml:space="preserve">Priemonė. Jonavos  "Neries" pagrindinės mokyklos išorės ir vidaus patalpų atnaujinimas </t>
  </si>
  <si>
    <t>Priemonė. Jonavos "Lietavos" pagrindinės mokyklos išorės atnaujinimas</t>
  </si>
  <si>
    <t>Pakeista kiemo danga (m2)</t>
  </si>
  <si>
    <t>Renovuota šilumos sistema (vnt.)</t>
  </si>
  <si>
    <t xml:space="preserve">Priemonė. Jonavos r. Bukonių mokyklos - daugiafunkcio centro vidaus patalpų atnaujinimas </t>
  </si>
  <si>
    <t xml:space="preserve">Priemonė. Jonavos r. Žeimių mokyklos - daugiafunkcio centro vidaus patalpų atnaujinimas </t>
  </si>
  <si>
    <t xml:space="preserve">Priemonė. Jonavos r. Ruklos Jono Stanislausko mokyklos - daugiafunkcio centro išorės ir vidaus patalpų atnaujinimas </t>
  </si>
  <si>
    <t>Suremontuotas nuotekų stovas (vnt.)</t>
  </si>
  <si>
    <t>Rekonstruotų vaikų žaidimo aikštelių skaičius (vnt.)</t>
  </si>
  <si>
    <t xml:space="preserve">Priemonė. Jonavos r. Kulvos Abraomo Kulviečio mokyklos išorės ir vidaus patalpų atnaujinimas </t>
  </si>
  <si>
    <t>Atliktų apžiūrų ir hidraulinių bandymų skaičius (vnt.)</t>
  </si>
  <si>
    <t>Įrengtos vaikų žaidimo aikštelių dangos plotas (m2)</t>
  </si>
  <si>
    <t>Įrengto bėgimo tako stadione plotas (m2)</t>
  </si>
  <si>
    <t xml:space="preserve">Priemonė. Jonavos r. Barupės mokyklos - daugiafunkcinio centro vidaus patalpų atnaujinimas </t>
  </si>
  <si>
    <t>Atnaujintos grindų dangos plotas (m2)</t>
  </si>
  <si>
    <t xml:space="preserve">Priemonė. Jonavos pradinės mokyklos išorės atnaujinimas </t>
  </si>
  <si>
    <t>Įrengtos sporto aikštelės su bėgimo taku plotas (m2)</t>
  </si>
  <si>
    <t xml:space="preserve">Priemonė. Jonavos Panerio pradinės mokyklos vidaus patalpų atnaujinimas </t>
  </si>
  <si>
    <t>Priemonė. Jonavos Senamiesčio gimnazijos pastato išorės ir vidaus patalpų remontas</t>
  </si>
  <si>
    <t>Įrengtų roletų skaičius (vnt.)</t>
  </si>
  <si>
    <t>Priemonė. Jonavos r. Panoterių P. Vaičiūno pagrindinės mokyklos vidaus patalpų atnaujinimas, inventoriaus įsigijimas</t>
  </si>
  <si>
    <t>Suremontuotų patalpų plotas (vnt.)</t>
  </si>
  <si>
    <t>Priemonė. Jonavos Jeronimo Ralio gimnazijos apšiltinimo darbai</t>
  </si>
  <si>
    <t>Modernizuotas  pastatas (proc.)</t>
  </si>
  <si>
    <t xml:space="preserve">Priemonė. Projekto "Jonavos mokyklos - darželio "Bitutė" atnaujinimas" įgyvendinimas  </t>
  </si>
  <si>
    <t xml:space="preserve">Priemonė. Projekto "Jonavos Jeronimo Ralio gimnazijos atnaujinimas" įgyvendinimas  </t>
  </si>
  <si>
    <t>Atnaujintų modernių, kūrybiškumą skatinančių edukacinių erdvių skaičius (vnt.)</t>
  </si>
  <si>
    <t>Priemonė. Projekto "Užusalių pagrindinės mokyklos atnaujinimas ir pritaikymas bendruomenės poreikiams" įgyvendinimas</t>
  </si>
  <si>
    <t>Priemonė. Projekto "Šveicarijos pagrindinės mokyklos pritaikymas bendruomenės poreikiams" įgyvendinimas</t>
  </si>
  <si>
    <t>Uždavinys. Atnaujinti ir modernizuoti Savivaldybės kultūros pastatus, kultūros paveldo objektus, vykdyti kultūros bei kultūros paveldo infrastruktūros atnaujinimo ir įrengimo projektus</t>
  </si>
  <si>
    <t>Suremontuotų patalpų skaičius (vnt.)</t>
  </si>
  <si>
    <t>Priemonė. Jonavos pašto stoties statinių komplekso arklidės pastato rekonstravimas</t>
  </si>
  <si>
    <t>Modernizuotas statinių kompleksas</t>
  </si>
  <si>
    <t>Priemonė. Drobiškių dvaro sodybos pastatų perkėlimas į Rumšiškių liaudies muziejų</t>
  </si>
  <si>
    <t>Perkeltų pastatų skaičius (vnt.)</t>
  </si>
  <si>
    <t>2.2.5.</t>
  </si>
  <si>
    <t>Priemonė. Kultūros vertybių tvarkymo ir išsaugojimo darbų programos įgyvendinimas</t>
  </si>
  <si>
    <t>2.2.6.</t>
  </si>
  <si>
    <t>Priemonė. Projekto "Bukonių kultūros centro pastato atnaujinimas" įgyvendinimas</t>
  </si>
  <si>
    <t>2.2.7.</t>
  </si>
  <si>
    <t>Priemonė. Projekto "Jonavos Šv. Apaštalo Jokūbo bažnyčios modernizavimas ir aktualizavimas" įgyvendinimas</t>
  </si>
  <si>
    <t>Udavinys. Atnaujinti ir modernizuoti Savivaldybės sporto pastatus, jų teritorijas, įrengti naują sporto infrastruktūrą, vykdyti sporto infrastruktūros atnaujinimo ir įrengimo projektus</t>
  </si>
  <si>
    <t>Priemonė. Projekto "Neformaliojo švietimo infrastruktūros tobulinimas" įgyvendinimas</t>
  </si>
  <si>
    <t>Atnaujintų sporto erdvių skaičius (vnt.)</t>
  </si>
  <si>
    <t>Uždavinys. Atnaujinti ir modernizuoti Savivaldybės socialines paslaugas teikiančių įstaigų pastatus, jų teritorijas, vykdyti socialinių paslaugų infrastruktūros atnaujinimo ir įrengimo projektus</t>
  </si>
  <si>
    <t>Priemonė. Projekto "Jonavos globos namų atnaujinimas" įgyvendinimas</t>
  </si>
  <si>
    <t>Priemonė. Jonavos globos namų veiklos gerinimas</t>
  </si>
  <si>
    <t>Įrengta tvora (m2)</t>
  </si>
  <si>
    <t>2.4.4.</t>
  </si>
  <si>
    <t xml:space="preserve">Priemonė. Projekto "Pabėgėlių integracijos skatinimas" įgyvendinimas </t>
  </si>
  <si>
    <t>Uždavinys. Atnaujinti ir modernizuoti Savivaldybės sveikatos priežiūros paslaugas teikiančių įstaigų pastatus, jų teritorijas, vykdyti sveikatos priežiūros paslaugų infrastruktūros atnaujinimo ir įrengimo projektus</t>
  </si>
  <si>
    <t>Priemonė. VšĮ Jonavos ligoninės išorės ir vidaus patalpų atnaujinimas</t>
  </si>
  <si>
    <t>Įrengtas liftas (vnt.)</t>
  </si>
  <si>
    <t>Suremontuotas stogas (vnt.)</t>
  </si>
  <si>
    <t>2.5.2.</t>
  </si>
  <si>
    <t>Priemonė. Jonavos pirminės sveikatos priežiūros centro šildymo sistemos bei vandentiekio atnaujinimo darbai</t>
  </si>
  <si>
    <t>2.5.3.</t>
  </si>
  <si>
    <t>Priemonė. Projekto "Jonavos r. sav. viešosios įstaigos Jonavos ligoninės atnaujinimas ir sterilizacijos proceso modernizavimas, Žeimių g. 19 Jonava" įgyvendinimas</t>
  </si>
  <si>
    <t>Uždavinys. Atnaujinti ir modernizuoti kitus Savivaldybės pastatus, jų teritorijas</t>
  </si>
  <si>
    <t>Priemonė. Pastato Mokyklos g. 2, Jonavoje nugriovimo darbai</t>
  </si>
  <si>
    <t>Rangos sutarties įgyvendinimas (proc.)</t>
  </si>
  <si>
    <t>2.6.2.</t>
  </si>
  <si>
    <t>Priemonė. Pastato J. Basanavičiaus g. 7, Jonavoje patalpų remontas</t>
  </si>
  <si>
    <t>Uždavinys. Savivaldybės pastatų bendroji priežiūra, remontas, administravimas</t>
  </si>
  <si>
    <t xml:space="preserve">Pastatų, kuriems atliktas remontas (vnt.)  </t>
  </si>
  <si>
    <t>Priemonė. Savivaldybės būsto remontas ir administravimas</t>
  </si>
  <si>
    <t>Uždavinys.  Skatinti daugiabučių gyvenamųjų namų atnaujinimą ir energinio efektyvumo didinimą</t>
  </si>
  <si>
    <t>Priemonė. Jonavos r. energetinio efektyvumo didinimo daugiabučiuose namuose programos įgyvendinimas</t>
  </si>
  <si>
    <t>Tikslas. Atnaujinti, prižiūrėti ir vystyti viešąsias erdves Savivaldybės teritorijoje</t>
  </si>
  <si>
    <t>Uždavinys.  Prižiūrėti ir plėsti žaliąsias bei sodų bendrijų teritorijas rajone</t>
  </si>
  <si>
    <t>Priemonė. Miesto parko Ramybės skvere įrengimas</t>
  </si>
  <si>
    <t>Priemonė. Specialiosios sodininkų bendrijos rėmimo programos įgyvendinimas</t>
  </si>
  <si>
    <t>Priemonė. Projekto "Kraštovaizdžio formavimas ir ekologinės būklės gerinimas Taurostos parke Jonavoje" įgyvendinimas</t>
  </si>
  <si>
    <t>Teritorijų, kuriose įgyvendintos kraštovaizdžio formavimo priemonės plotas (ha)</t>
  </si>
  <si>
    <t>Uždavinys.  Kompleksinės plėtros miesto ir kaimo teritorijose įgyvendinimas</t>
  </si>
  <si>
    <t>Priemonė. Projekto "Ruklos miestelio kompleksinis atnaujinimas" įgyvendinimas</t>
  </si>
  <si>
    <t>Sutvarkytų viešųjų erdvių Ruklos miestelyje plotas (m2)</t>
  </si>
  <si>
    <t xml:space="preserve">Uždavinys. Sudaryti sąlygas kokybiškai įgyvendinti Savivaldybės funkcijas, mažinant administracinę naštą                 </t>
  </si>
  <si>
    <t>Priemonė. Savivaldybės tarybos narių ir administracijos darbuotojų mokymo programos vykdymas (kvalifikacijos kėlimas)</t>
  </si>
  <si>
    <t>Priemonė. Projekto "Paslaugų ir asmenų aptarnavimo kokybės gerinimas Jonavos rajono savivaldybės viešojoje bibliotekoje ir Jonavos rajono savivaldybės administracijoje" įgyvendinimas</t>
  </si>
  <si>
    <t>Išmokų ir kompensacijų vidutinis gavėjų skaičius (asm.)</t>
  </si>
  <si>
    <t>Suteiktų konsultacijų skaičius valstybinės kalbos taisyklingumo ir vartosenos klausimais (vnt.)</t>
  </si>
  <si>
    <t>Priemonė. Gyventojų registro tvarkymas ir duomenų teikimas valstybės registrams</t>
  </si>
  <si>
    <t>Mokinių, gaunančių socialinę paramą, skaičius (asm.)</t>
  </si>
  <si>
    <t>Asmenų, dalyvavusių civilinės saugos mokymuose, skaičius (asm.)</t>
  </si>
  <si>
    <t>Priemonė. Pirminės valstybės garantuojamos teisinės pagalbos teikimas</t>
  </si>
  <si>
    <t xml:space="preserve">Priemonė. Erdvinių duomenų rinkinio tvarkymas  </t>
  </si>
  <si>
    <t>Topografinių ir inžinierinių nuotraukų skaičius (vnt.)</t>
  </si>
  <si>
    <t>Tikslas. Vykdant savarankiškąsias savivaldybės funkcijas teikti informaciją bendruomenės nariams, palaikyti ir stiprinti Jonavos rajono įvaizdį</t>
  </si>
  <si>
    <t>Priemonė. Dalyvauti Lietuvos savivaldybių asociacijos veikloje (LSA mokestis)</t>
  </si>
  <si>
    <t>Priemonė. Dalyvauti Kauno regiono plėtros agentūros veikloje (Kauno regiono plėtros agentūros vykdomų projektų įgyvendinimas)</t>
  </si>
  <si>
    <t>Priemonė. Savivaldybės administracijos direktoriaus rezervas</t>
  </si>
  <si>
    <t>Tikslas. Dengti su savivaldybės turto valdymu susijusias ir kitas išlaidas</t>
  </si>
  <si>
    <t>Teisinių paslaugų sutartys (advokatai, anstoliai) (vnt.)</t>
  </si>
  <si>
    <t>Tikslas. Valdyti prisiimtus finansinius įsipareigojimus</t>
  </si>
  <si>
    <t>Įgyvendinamų tarptautino bendradarbiavimo projektų su kitomis valstybėmis skaičius (vnt.)</t>
  </si>
  <si>
    <t>6.1.3.</t>
  </si>
  <si>
    <t xml:space="preserve">Priemonė. Jonavos r. savivaldybės ilgalaikio strateginio plėtros plano parengimas </t>
  </si>
  <si>
    <t>Parengtas strateginis plėtros planas (vnt.)</t>
  </si>
  <si>
    <t>Priemonė. Jonavos vietos veiklos grupės plėtros strategijos rengimo ir įgyvendinimo dalinis finansavimas</t>
  </si>
  <si>
    <t>Priemonė. Jonavos r. vietos veiklos grupės plėtros strategijos rengimo ir įgyvendinimo dalinis finansavimas</t>
  </si>
  <si>
    <t>Moksleivio krepšelio finansavimas bendrojo lavinimo įstaigoms (išlaidos skirtos DU, vadovėliams ir mokyklinėms prekėms įsigyti, pažintinių veiklų, kvalifikacijos kėlimo organizavimui ir kt.)                                          Tarybos sprendimais 2019-09-19 Nr.1TS-172 ir 2019-11-21 Nr.1TS-209   buvo skirta papildomai lėšų - 140,4 tūkst. Eur.</t>
  </si>
  <si>
    <t xml:space="preserve">Specialiųjų ugdymo poreikių mokinių išlaikymas Jonavos „Neries" pagrindinės mokyklos specialiojo ugdymo skyriuje.                                          </t>
  </si>
  <si>
    <t>Soc. remtinų šeimų vaikų aprūpinimas išmaniosiomis apyrankėmis, kurios skirtos atsiskaityti už maistą mokyklų valgyklose priešmokyklinio ugdymo ir pirmų klasių  mokinimas, įsigijimas</t>
  </si>
  <si>
    <t>Brandos egzaminų administravimas, vykdymas ir vertinimas.                                          Tarybos sprendimu 2019-11-21 Nr.1TS-209 buvo skirta papildomai lėšų - 1,9 tūkst. Eur.</t>
  </si>
  <si>
    <t xml:space="preserve">Treniruočių vykdymas ir dalyvavimas rajono ir respublikinėse varžybose.                                                                                                                                          Tarybos sprendimu 2019-09-19 Nr.1TS-172 buvo skirta papildomai lėšų - 30 tūkst. Eur. </t>
  </si>
  <si>
    <t xml:space="preserve">Sporto varžybų organizavimas ir dalyvavimas.                                                        Tarybos sprendimu 2019-03-28 Nr.1TS-30 buvo skirta papildomai lėšų - 20 tūkst. Eur. </t>
  </si>
  <si>
    <t xml:space="preserve">UAB "Jonavos autobusai" keleivių vežimo nuostolių dengimas, įstatinio kapitalo didinimas.                                                                                          Tarybos sprendimu 2019-11-21 Nr.1TS-209 buvo skirta papildomai lėšų - 30 tūkst. Eur. </t>
  </si>
  <si>
    <t xml:space="preserve">Nemokamos konsultacijos smulkioms ir vidutinėms įmonėms, verslininkams ir pradedantiesiems verslininkams. 2019 m. buvo pakeisti Smulkaus ir vidutinio verslo bei ūkininkų rėmimo nuostatai, juose numatant ženkliai platesnes verslo konsultacijų rėmimo apimtis. Papildomoms konsultacijoms (ne SVV fondo apimtyje) poreikio nebuvo.                                     </t>
  </si>
  <si>
    <t xml:space="preserve">Parengti formavimo ir pertvarkymo projektai, skirti žemės sklypų suformavimui, teritorijų planavimo dokumentų, ribų keitimo planų, statinių projektų ir ekspertizių rengimas, inžinierinės paslaugos.                                                   Tarybos sprendimu 2019-09-19 Nr.1TS-172 buvo skirta papildomai lėšų - 50 tūkst. Eur.                                               </t>
  </si>
  <si>
    <t>Atlikti paviršinių lietaus nuotekų tyrimai Užusalių tvenkinio teritorijoje.</t>
  </si>
  <si>
    <t>Atlikti invazinių Lietuvoje rūšių sąraše esančio sosnovskio barščio gausos reguliavimo ir naikinimo darbai: sosnovskio barščio naikinimas purškimo būdu Kulvos, Šveicarijos, Upninkų, Užusalių ir Žeimių seniūnijose, Jonavos r.</t>
  </si>
  <si>
    <t>Pastatytų vandentvarkos objektų skaičius/ sutvarkytų paviršinių vandens nuotekų tinklų skaičius/ įrengtų vandens gerinimo įrenginių skaičius (vnt.)</t>
  </si>
  <si>
    <t>Įsigyti ir sumontuoti pusiau požeminių konteinerių tūrio davikliai ir jų valdymo programinė įranga, įdiegta programinė įranga; savivaldybės teritorijoje įgyvendinto projekto ,,Pirminio rūšiavimo infrastruktūros plėtra Jonavos rajone ir atliekų rūšiavimo skatinimas" dalinis finansavimas (įsigyta įranga pusiau požeminiams konteineriams)</t>
  </si>
  <si>
    <t>Sutvarkytos statybinės atliekos ir užteršta teritorija Panerių g. 7, Jonavoje; išvežtos surinktos bešeimininkės padangos; surinktos, surūšiuotos ir išvežtos bešeimininkės atliekos ir atlikti užterštų teritorijų tvarkymo darbai visoje savivaldybės teritorijoje, išvežtos švaros akcijos "Darom" metu surinktos atliekos; įsigytos priemonės švaros akcijos "Darom" vykdymui visose seniūnijose.</t>
  </si>
  <si>
    <t xml:space="preserve">Kompensuota vilkų ūkininkams padaryta žala.       </t>
  </si>
  <si>
    <t>Buvo vykdoma želdinių apsauga nuo kanopinių žvėrių daromos žalos, tepant repelentus, tveriant tvoromis ir uždedant individualias medelių apsaugas Jonavos rajono savivaldybės teritorijoje, patenkančioje į Pageležių ir Girelės girininkijų ribas; želdinių apsauga nuo kanopinių žvėrių daromos žalos, tepant repelentus ir cheminė jaunuolynų apsauga nuo gyvūnų Jonavos rajono savivaldybės teritorijoje, patenkančioje į Kėdainių ir Lančiūnavos girininkijų ribas.</t>
  </si>
  <si>
    <t>Priemonė nebuvo vykdoma.</t>
  </si>
  <si>
    <t>Sutvarkytas Jonavos miesto parkas tarp J.Basanavičiaus, J. Janonio, Kalnų ir Žeimių gatvių, sodinant medžius ir krūmus</t>
  </si>
  <si>
    <t xml:space="preserve">Jonavos rajono savivaldybės vandens tiekimo ir nuotekų tvarkymo infrastruktūros plėtros specialiojo plano rengimas perkeltas į 2020 m. 2019 m. vyko esamos situacijos nustatymas, apibrėžiant naujas aglomeracijas, įvertinant esamą tinklų išsidėstymą, vartotojų skaičių ir pan.                                                                                                                       </t>
  </si>
  <si>
    <t xml:space="preserve">Įrengti vandens gerinimo įrenginiai Martyniškių k., Jonavos r. (projektavimas, ekspertizė, statybos ir kadastravimo darbai); atlikti paviršinių vandens nuotekų tinklų tvarkymo darbai Jonavos mieste Vytauto skg. ir Jonavos miesto parko teritorijoje (vamzdynų ir šulinių keitimas ir įrengimas, dangų atstatymas ir kiti susiję darbai); atlikti paviršinių vandens nuotekų tinklų tvarkymo darbai Karaliaus Mindaugo g., Ruklos mstl., Jonavos r. (vamzdynų ir šulinių keitimas ir įrengimas, dangų atstatymas ir kiti susiję darbai). </t>
  </si>
  <si>
    <t xml:space="preserve">Baigtas įgyvendinti projektas "Pirminio rūšiavimo infrastruktūros plėtra Jonavos rajone ir atliekų rūšiavimo skatinimas". </t>
  </si>
  <si>
    <t xml:space="preserve">Tarybos sprendimu 2019-11-21 Nr.1TS-209 buvo skirta papildomai VBDvf lėšų - 0,66 tūkst. Eur.  </t>
  </si>
  <si>
    <t xml:space="preserve">Tarybos sprendimu 2019-11-21 Nr.1TS-209 buvo skirta papildomai VBDvf lėšų - 0,6 tūkst. Eur.  </t>
  </si>
  <si>
    <t xml:space="preserve">Tarybos sprendimu 2019-11-21 Nr.1TS-209 buvo skirta papildomai VBDvf lėšų - 3 tūkst. Eur.  </t>
  </si>
  <si>
    <t xml:space="preserve">Tarybos sprendimu 2019-11-21 Nr.1TS-209 buvo skirta papildomai VBDvf lėšų - 5,4 tūkst. Eur.  </t>
  </si>
  <si>
    <t>Įgyvendinami bendruomenių projektai pagal  vietos bendruomenių savivaldos 2017-2019 m. programą. Užsitęsė teisės aktų rengimo procedūros, pateiktų paraiškų vertinimas įgyvendinančiose institucijose</t>
  </si>
  <si>
    <t>Įgyvendinami projektai pagal Jonavos ir Jonavos rajono vietos veiklos grupės plėtros strategiją. Užsitęsė teisės aktų rengimo procedūros, pateiktų paraiškų vertinimas įgyvendinančiose institucijose</t>
  </si>
  <si>
    <t xml:space="preserve">Centralizuotas fondas avariniams remonto darbams.                                                 Tarybos sprendimais 2019-03-28 Nr.1TS-30 ir 2019-09-19 Nr.1TS-172 buvo skirta papildomai SB lėšų - 27 tūkst. Eur.                 </t>
  </si>
  <si>
    <t>Priemonė. Žeimių ir Vasario 16-osios g. žiedinės sankryžos projektavimas</t>
  </si>
  <si>
    <t xml:space="preserve">Savivaldybei priklausančių statinių remontas.                                                  Tarybos sprendimu 2019-09-19 Nr.1TS-172 buvo skirta papildomai SB lėšų - 10 tūkst. Eur        </t>
  </si>
  <si>
    <t xml:space="preserve">Daugiabučių namų rėmimo fondas.                                                                 Tarybos sprendimu 2019-11-21 Nr.1TS-209 buvo skirta papildomai SB lėšų - 65 tūkst. Eur  </t>
  </si>
  <si>
    <t>Atliktas Bukonių, Kulvos, Ruklos, Šveicarijos, Upninkų, Užusalių ir Žeimių seniūnijų žvyrkelių remontas</t>
  </si>
  <si>
    <t xml:space="preserve">Įgyvendinamas projektas "Jonavos globos namų atnaujinimas".                                            Tarybos sprendimu 2019-05-30 Nr.1TS-106 nuosavam indėliui užtikrinti buvo skirta dotacija VB lėšomis - 60,5 tūkst. Eur  </t>
  </si>
  <si>
    <t xml:space="preserve">Įgyvendinamas projektas "Ruklos miestelio kompleksinis atnaujinimas".                 Tarybos sprendimais 2019-05-30 Nr.1TS-106 ir 2019-11-21 Nr.1TS-209 buvo skirta papildomai SB lėšų - 164,8 tūkst. Eur, ES lėšų - 22 tūkst. Eur, nuosavam indėliui užtikrinti numatyta dotacija VB lėšomis - 55,2 tūkst. Eur. </t>
  </si>
  <si>
    <t xml:space="preserve">Priemonė nebuvo vykdoma. Lėšos perskirstytos kitų priemonių įgyvendinimui. </t>
  </si>
  <si>
    <t>1.2.17.</t>
  </si>
  <si>
    <t>Priemonė. Projekto "Įvažiavimo kelio tarp Jonavos m. Chemikų g. 98 ir 138A namų tiesimas" įgyvendinimas</t>
  </si>
  <si>
    <t>2.6.3.</t>
  </si>
  <si>
    <t>2.6.4.</t>
  </si>
  <si>
    <t>Priemonė. Patalpų kultūros rūmų pastate, Žeimių g. 15, Jonavoje, su priklausiniu pirkimas</t>
  </si>
  <si>
    <t>Priemonė. Ūkinio pastato Panerių g. 7, Jonavoje, nugriovimas</t>
  </si>
  <si>
    <t xml:space="preserve">Jonavos Senamiesčio gimnazijos pastato išorės ir vidaus patalpų remontas.                                                                                                         Tarybos sprendimu 2019-07-04 Nr.1TS-143 Jonavos Senamiesčio gimnazijos modernizavimui buvo skirtos SB lėšos  - 16,4 tūkst. Eur ir dotacija VB lėšomis - 16,4 tūkst. Eur.        </t>
  </si>
  <si>
    <t>Apšiltintas pastato fasadas (vnt.)</t>
  </si>
  <si>
    <t xml:space="preserve">Viešųjų erdvių prižiūrėjimas ir tvarkymas, kapinių tvarkymas ir prižiūrėjimas, gatvių apšvietimo prižiūrėjimas, gatvių ir šaligatvių valymas, kaimiškų seniūnijų pastatų prižiūrėjimas ir kt.                                   Tarybos sprendimais 2019-07-04 Nr.1TS-143 ir 2019-11-21 Nr.1TS-209  buvo skirta papildomai SB lėšų Jonavos miesto seniūnijos aplinkos priežiūrai - 43,7 tūkst. Eur ir Šilų seniūnijos kelių priežiūrai - 0,8 tūkst. Eur.                                                </t>
  </si>
  <si>
    <t xml:space="preserve">Gerbūvio tvarkymas Šilų seniūnijoje.                                                              Tarybos sprendimu 2019-11-21 Nr.1TS-209 buvo skirtos papildomos SB lėšos traktorinės priekabos ir priedų vejos traktoriui įsigijimui - 0,5 tūkst. Eur. </t>
  </si>
  <si>
    <t xml:space="preserve">Gerbūvio tvarkymas Upninkų seniūnijoje.                                                   Tarybos sprendimu 2019-05-30 Nr.1TS-106 buvo skirtos SB lėšos krūmapjovės įsigijimui - 0,8 tūkst. Eur. </t>
  </si>
  <si>
    <t>Įsigyta krūmapjovė (vnt.)</t>
  </si>
  <si>
    <t xml:space="preserve">Gerbūvio tvarkymas Užusalių seniūnijoje.                                                    Tarybos sprendimu 2019-11-21 Nr.1TS-209 buvo skirtos SB lėšos gatvių apšvietimo elektros skydinių modernizavimui - 4,6 tūkst. Eur. </t>
  </si>
  <si>
    <t>Įsigytos įrangos (konvekcinė krosnis) skaičius (vnt.)</t>
  </si>
  <si>
    <t xml:space="preserve">Jonavos vaikų lopšelio - darželio "Bitutė" pastato atnaujinimas  </t>
  </si>
  <si>
    <t>Sutvarkyta teritorijos danga (m2)</t>
  </si>
  <si>
    <t xml:space="preserve">Jonavos vaikų lopšelio - darželio "Dobilas" pastato ir aplinkos atnaujinimas.                                                                                                      Tarybos sprendimais 2019-05-30 Nr.1TS-106 buvo skirtos SB lėšos patalpų remontui ir kiemo aikštelės įrengimui - 7 tūkst. Eur, 2019-09-19 Nr.1TS-172 - aikštelės praplėtimo darbams - 7,3 tūkst. Eur ir 2019-11-21 Nr.1TS-209 - kiemo vartų įrengimui - 1 tūkst. Eur </t>
  </si>
  <si>
    <t xml:space="preserve">Jonavos vaikų lopšelio - darželio "Pakalnutė" pastato ir aplinkos atnaujinimas </t>
  </si>
  <si>
    <t xml:space="preserve">Jonavos r. Žeimių mokyklos - daugiafunkcio centro pastato atnaujinimas </t>
  </si>
  <si>
    <t xml:space="preserve">Jonavos r. Ruklos Jono Stanislausko mokyklos - daugiafunkcio centro pastato ir aplinkos atnaujinimas.                                                                                                                                                </t>
  </si>
  <si>
    <t xml:space="preserve">Jonavos "Lietavos" pagrindinės mokyklos aplinkos atnaujinimas.                           Tarybos sprendimu 2019-09-19 Nr.1TS-172 buvo skirtos papildomos SB lėšos - 2,2 tūkst. Eur       </t>
  </si>
  <si>
    <t xml:space="preserve">Jonavos Justino Vareikio progimnazijos pastato atnaujinimas.                     Tarybos sprendimu 2019-05-30 Nr.1TS-106 buvo skirtos SB lėšos patalpų remontui - 12 tūkst. Eur </t>
  </si>
  <si>
    <t xml:space="preserve">Jonavos Raimundo Samulevičiaus progimnazijos pastato ir aplinkos atnaujinimas.                                                                                                      Tarybos sprendimu 2019-09-19 Nr.1TS-172 buvo skirtos papildomos SB lėšos vaikų žaidimų aikštelės įrengimui - 2,8 tūkst. Eur                                                    </t>
  </si>
  <si>
    <t xml:space="preserve">Priemonė. Jonavos r. Šveicarijos progimnazijos išorės atnaujinimas </t>
  </si>
  <si>
    <t>Pakeistos ikimokyklinio ugdymo skyriaus teritorijos tvoros ilgis (m)</t>
  </si>
  <si>
    <t xml:space="preserve">Jonavos r. Panoterių P. Vaičiūno pagrindinės mokyklos atnaujinimas </t>
  </si>
  <si>
    <t xml:space="preserve">Priemonė. Jonavos r. Užusalių mokyklos - daugiafunkcio centro vidaus patalpų atnaujinimas </t>
  </si>
  <si>
    <t xml:space="preserve">Jonavos r. Bukonių mokyklos - daugiafunkcio centro pastato atnaujinimas.                    </t>
  </si>
  <si>
    <t xml:space="preserve">Jonavos r. Užusalių mokyklos - daugiafunkcio centro pastato atnaujinimas.                                                                                                     Tarybos sprendimu 2019-05-30 Nr.1TS-106 buvo skirtos SB lėšos sporto salės stogo remontui - 16,7 tūkst. Eur ir 2019-12-19 Nr.1TS-247 buvo skirtos SB lėšos inventoriaus įsigijimui - 5 tūkst. Eur.   </t>
  </si>
  <si>
    <t xml:space="preserve">Jonavos r. Barupės mokyklos - daugiafunkcinio centro pastato atnaujinimas </t>
  </si>
  <si>
    <t xml:space="preserve">Jonavos Panerio pradinės mokyklos pastato atnaujinimas </t>
  </si>
  <si>
    <t xml:space="preserve">Jonavos pradinės mokyklos aplinkos atnaujinimas </t>
  </si>
  <si>
    <t>Jonavos Jeronimo Ralio gimnazijos pastato atnaujinimas</t>
  </si>
  <si>
    <t xml:space="preserve">Jonavos globos namų pastato ir aplinkos atnaujinimas </t>
  </si>
  <si>
    <t xml:space="preserve">Įgyvendinama specialioji sodininkų bendrijos rėmimo programa.               </t>
  </si>
  <si>
    <t xml:space="preserve">Palankesių k., Dvaro g. kapitalinis remontas; Žeimių mstl., Parko g. kapitalinis remontas; Žeimių mstl., Parko g. atkarpos kapitalinio remonto projekto parengimas ir projekto ekspertizė; Žeimių mstl., Blauzdžių g. atkarpos kapitalinio remonto projekto parengimas ir projekto ekspertizė.  </t>
  </si>
  <si>
    <t xml:space="preserve">Upninkų sen., Dienovidžių gatvės (Keižonių kapinės – Keižonių dvaras) kapitalinis remontas; Jurkonių k. Užuovejos g. kapitalinio remonto projekto parengimas ir projekto ekspertizė; vietinės reikšmės kelių ir gatvių su asfalbetonio danga priežiūra ir inventorizacija.   </t>
  </si>
  <si>
    <t>Jonavos m. Varnutės g. kapitalinis remontas; Jonavos m. pėsčiųjų/ dviračių tako įrengimas Taurostos parke; Jonavos m. dviračių/pėsčiųjų tako nuo Žeimių iki Lietavos g. nauja statyba; Jonavos m. dviračių/pėsčiųjų tako nuo Žeimių tako g. iki Kosmonautų g. ir prie Kosmonautų g. 9 namo kapitalinio remonto projekto parengimas ir projekto ekspertizė; tako nuo Chemikų g. iki PC "IKI" (takas nuo P.Vaičiūno g. iki Chemikų g.)  kapitalinio remonto projekto parengimas ir projekto ekspertizė; Jonavos m. Kranto g. atkarpos kapitalinio remonto projekto parengimas ir projekto ekspertizė; Jonavos m. Joninių g. statybos projekto parengimas ir projekto ekspertizė; Jonavos m. Žemaitės g. kapitalinio remonto ir statybos projekto parengimas ir projekto ekspertizė; Jonavos m. Gudžionių g. kapitalinio remonto projekto parengimas ir projekto ekspertizė; vietinės reikšmės kelių ir gatvių su asfalbetonio danga priežiūra ir inventorizacija.</t>
  </si>
  <si>
    <t xml:space="preserve">Kulvos k. Kaštonų g. kapitalinis remontas; Kulvos k. Rasos g. kapitalinio remonto ir statybos projekto parengimas ir projekto ekspertizė; vietinės reikšmės kelių ir gatvių su asfalbetonio danga priežiūra ir inventorizacija. </t>
  </si>
  <si>
    <t xml:space="preserve">Liepių k. Draugystės g. kapitalinis remontas; Liepių k., Paliepių g. kapitalinio remonto projekto parengimas ir projekto ekspertizė; Liepių k., Draugystės g. kapitalinio remonto projekto parengimas ir projekto ekspertizė; vietinės reikšmės kelių ir gatvių su asfalbetonio danga priežiūra ir inventorizacija.  </t>
  </si>
  <si>
    <t>Vietinės reikšmės kelio Šveicarija-Gaižiūnų gel. stotis kapitalinis remontas (Šveicarija–Meškoniai–Bajoriškės–Gaižiūnų glž. st.) kapitalinis remontas; vietinės reikšmės kelių ir gatvių su asfalbetonio danga priežiūra ir inventorizacija.</t>
  </si>
  <si>
    <t xml:space="preserve">Ruklos mstl. Karaliaus Mindaugo, Piliakalnio, Ruklio gatvių lietaus nuotekų nauja statyba; vietinės reikšmės kelių ir gatvių su asfalbetonio danga priežiūra; Ruklos sen., Šaudyklos g. rekonstrukcija ir inventorizacija.  </t>
  </si>
  <si>
    <t xml:space="preserve">Šilų k. Lukšių g. kapitalinis remontas; Jaugeliškių k. Nuokalnės g. kapitalinis remontas; Panoterių k. Bažnyčios g., kapitalinio remonto projekto parengimas; Aklojo ežero k. Samanynės g. kapitalinio remonto projekto parengimas ir projekto ekspertizė; Gudžionių k. Lokio g. kapitalinio remonto projekto parengimas ir projekto ekspertizė;  vietinės reikšmės kelių ir gatvių su asfalbetonio danga priežiūra ir inventorizacija.    </t>
  </si>
  <si>
    <t xml:space="preserve">Šešuvos k., Kalkinės g. kapitalinis remontas; Išorų k., Klevų g. kapitalinio remonto ir statybos projekto parengimas ir projekto ekspertizė; Išorų k.,Purienų g., kapitalinio remonto projekto parengimas ir projekto ekspertizė; vietinės reikšmės kelių ir gatvių su asfalbetonio danga priežiūra ir inventorizacija.    </t>
  </si>
  <si>
    <t xml:space="preserve">Nemokamas mokinių aprūpinimas mokymosi priemonėmis.                            Tarybos sprendimu 2019-11-21 Nr.1TS-209 buvo skirta papildomai lėšų - 21,4 tūkst. Eur. </t>
  </si>
  <si>
    <t>Asmenų su sunkia negalia išlaikymas kito pavaldumo globos įstaigose.             Tarybos sprendimais 2019-09-19 Nr.1TS-172, 2019-11-21 Nr.1TS-209  ir 2019-12-19 Nr.1TS-247 buvo skirta papildomai lėšų - 105,4 tūkst. Eur.</t>
  </si>
  <si>
    <t>2.3.8.</t>
  </si>
  <si>
    <t xml:space="preserve">Priemonė. Projekto „Vaikų gerovės ir saugumo didinimo, paslaugų šeimai, globėjams (rūpintojams) kokybės didinimo ir prieinamumo plėtra“ įgyvendinimas </t>
  </si>
  <si>
    <t xml:space="preserve">Vaikų nemokamas maitinimas bendrojo ugdymo mokyklose, ikimokyklinėse įstaigose </t>
  </si>
  <si>
    <t xml:space="preserve">Priemonė. Projekto "Gerovės užtikrinimas teikiant kompleksines paslaugas negalią turintiems asmenims, gaunantiems ilgalaikės socialinės globos paslaugas" įgyvendinimas </t>
  </si>
  <si>
    <t>2.3.9.</t>
  </si>
  <si>
    <t xml:space="preserve">Priemonė. Projekto „Socialinių paslaugų Jonavoje gyvenantiems kitataučiams sukūrimas ir organizavimas“ įgyvendinimas </t>
  </si>
  <si>
    <t>3.1.11.</t>
  </si>
  <si>
    <t>Priemonė. Projekto "Kokybės krepšelis" įgyvendinimas</t>
  </si>
  <si>
    <t>Priemonė. Tarpinstitucinio bendradarbiavimo koordinatoriaus pareigybės išlaikymas</t>
  </si>
  <si>
    <t xml:space="preserve">Įgyvendinamas projektas "Jonavos Jeronimo Ralio gimnazijos atnaujinimas".                                                                                                             Tarybos sprendimu 2019-11-21 Nr.1TS-209 buvo skirtos papildomos ES lėšos  - 19,5 tūkst. Eur                                                     </t>
  </si>
  <si>
    <t xml:space="preserve">Parengtos Bukonių pagrindinės mokyklos ir Panoterių Petro Vaičiūno pagrindinės mokyklos katilinių šilumos efektą sukeliančių dujų ataskaitos.  </t>
  </si>
  <si>
    <t xml:space="preserve">Įgyvendinamas projektas "Jonavos Šv. Apaštalo Jokūbo bažnyčios modernizavimas ir aktualizavimas".                                                                                  Tarybos sprendimu 2019-05-30 Nr.1TS-106 buvo skirta papildomai SB lėšų - 71 tūkst. Eur ir papildomai skirta VB dotacija - 58,8 tūkst. Eur. </t>
  </si>
  <si>
    <r>
      <t>Moksleiviams/</t>
    </r>
    <r>
      <rPr>
        <i/>
        <sz val="11"/>
        <rFont val="Times New Roman"/>
        <family val="1"/>
        <charset val="186"/>
      </rPr>
      <t>klientams</t>
    </r>
    <r>
      <rPr>
        <sz val="11"/>
        <rFont val="Times New Roman"/>
        <family val="1"/>
        <charset val="186"/>
      </rPr>
      <t xml:space="preserve"> suteiktos pedagoginės, psichologinės konsultacijos skaičius (vnt.)</t>
    </r>
  </si>
  <si>
    <r>
      <t>PPT organizuotų seminarų/</t>
    </r>
    <r>
      <rPr>
        <i/>
        <sz val="11"/>
        <color theme="1"/>
        <rFont val="Times New Roman"/>
        <family val="1"/>
        <charset val="186"/>
      </rPr>
      <t>renginių</t>
    </r>
    <r>
      <rPr>
        <sz val="11"/>
        <color theme="1"/>
        <rFont val="Times New Roman"/>
        <family val="1"/>
        <charset val="186"/>
      </rPr>
      <t xml:space="preserve"> skaičius (vnt.)</t>
    </r>
  </si>
  <si>
    <t>Vienkartinės išmokos gimus vaikui ir išmokos gimus vienu metu daugiau kaip 1 vaikui mokėjimas</t>
  </si>
  <si>
    <t xml:space="preserve">Vienkartinės išmokos vaikams mokėjimas, išmokos besimokančio ar studijuojančio asmens vaiko priežiūrai, išmokos įvaikinus vaiką ir išmokų vaikams administravimas </t>
  </si>
  <si>
    <t>Globos (rūpybos) išmokos ir tikslinio priedo mokėjimas</t>
  </si>
  <si>
    <t>Laidojimo pašalpų už mirusį asmenį mokėjimas, parama už užsienyje mirusių (žuvusių) Lietuvos Respublikos piliečių palaikų parvežimą į Lietuvos Respubliką</t>
  </si>
  <si>
    <t xml:space="preserve">Įgyvendinamas Erasmus+ projektas "Communication is the path to integration" </t>
  </si>
  <si>
    <t>Įgyvendintas Nordplus Adult projektas "Save the World green"</t>
  </si>
  <si>
    <t xml:space="preserve">Įgyvendinamas ES projektas "Gerovės užtikrinimas teikiant kompleksines paslaugas protinę ir psichinę negalią turintiems asmenims ir jų artimiesiems" </t>
  </si>
  <si>
    <t>Įgyvendintas ES projektas "Atrask ir parodyk save"</t>
  </si>
  <si>
    <t>Asmenų su sunkia negalia soc. globos paslaugos.                                                                                                     Tarybos sprendimu 2019-11-21 Nr.1TS-209 buvo skirta papildomai VB lėšų - 30 tūkst. Eur.</t>
  </si>
  <si>
    <t xml:space="preserve">Sandėlio nuomos, komunalinių paslaugų (sandėlio elektra) apmokėjimas ir intervencinė maisto programa </t>
  </si>
  <si>
    <t>Įgyvendintas projektas „Integralios pagalbos teikimas Jonavos rajone“.                                                                 Tarybos sprendimu 2019-11-21 Nr.1TS-209 buvo skirta papildomai ES lėšų - 37,8 tūkst. Eur.</t>
  </si>
  <si>
    <t>Įgyvendintas projektas „Kompleksinių paslaugų asmenims, patyrusiems socialinę atskirtį, teikimas – sėkmingos integracijos garantas“</t>
  </si>
  <si>
    <t xml:space="preserve">Įgyvendinamas projektas "Bendruomeninių vaikų globos namų ir vaikų dienos centrų tinklo plėtra". 2019 m. pasirašyta finansavimo sutartis. </t>
  </si>
  <si>
    <t xml:space="preserve">Visuomenės sveikatos stiprinimo renginių organizavimas, gyventojų informuotumo didinimas sveikatos stiprinimo klausimais,visuomenės sveikatos stebėsenos vykdymas ir sveikatos pokyčių vertinimas ir kt. </t>
  </si>
  <si>
    <t>Užtikrinamas projekto "Jaunimui palankių paslaugų modelio diegimas Jonavos savivaldybėje" tęstinumas</t>
  </si>
  <si>
    <t xml:space="preserve">Užimtumo didinimo programos įgyvendinimas (laikino pobūdžio darbų organizavimas bedarbiams, įsiregistravusiems Užimtumo tarnybos prie Lietuvos Respublikos socialinės apsaugos ir darbo ministerijos Kauno klientų aptarnavimo departamento Jonavos skyriuje) </t>
  </si>
  <si>
    <t>Priemonė. Prevencinės programos "Aktyvi bendruomenė - saugi aplinka" įgyvendinimas</t>
  </si>
  <si>
    <t xml:space="preserve">Kauno apskrities vyriausiojo policijos komisariato Jonavos rajono policijos komisariato prevencinės programos "Aktyvi bendruomenė - saugi aplinka" įgyvendinimas </t>
  </si>
  <si>
    <t>Perspėjimo sirenomis sistemos modernizavimas</t>
  </si>
  <si>
    <t xml:space="preserve">Miesto vaizdo stebėjimo ir perdavimo paslauga </t>
  </si>
  <si>
    <t>Įrengta aikštelė prie Žeimių mstl. kapinių (vnt.)</t>
  </si>
  <si>
    <t>Rekonstruotas suskystintų naftos dujų įrenginys (vnt.)</t>
  </si>
  <si>
    <t>Modernizuotos gatvių apšvietimo elektros skydinės (vnt.)</t>
  </si>
  <si>
    <t xml:space="preserve">Dotacijos, projekto "Jonavos m. Vasario 16-osios, A. Kulviečio, Chemikų gatvių rekonstrukcija, įrengiant modernias eismo saugos priemones" įgyvendinimo nuosavam indėliui užtikrinti, dalinis grąžinimas </t>
  </si>
  <si>
    <r>
      <t xml:space="preserve">Rekonstruotų užtvankų/ </t>
    </r>
    <r>
      <rPr>
        <i/>
        <sz val="11"/>
        <color theme="1"/>
        <rFont val="Times New Roman"/>
        <family val="1"/>
        <charset val="186"/>
      </rPr>
      <t xml:space="preserve">atliktų tyrinėjimų skaičius </t>
    </r>
    <r>
      <rPr>
        <sz val="11"/>
        <color theme="1"/>
        <rFont val="Times New Roman"/>
        <family val="1"/>
        <charset val="186"/>
      </rPr>
      <t xml:space="preserve"> (vnt.)</t>
    </r>
  </si>
  <si>
    <t xml:space="preserve">Ūkinių gyvūnų, kuriems padaryta žala nuo vilkų, skaičius (vnt.)  </t>
  </si>
  <si>
    <t>Suteiktos negrąžintinos paramos skaičius (vnt.)</t>
  </si>
  <si>
    <t>Pakeisti vartai (vnt.)</t>
  </si>
  <si>
    <t>Ankstyvosios intervencijos, skirtos nereguliariai vartojantiems psichoaktyviąsias medžiagas ar eksperimentuojantiems jomis jaunuoliams, vykdymas; priklausomybių konsultantų paslaugų teikimo savivaldybėje organizavimas; psichikos sveikatos kompetencijų didinimas įmonių darbuotojams; mokyklų bendruomenės gebėjimų psichikos sveikatos srityje stiprinimas - mokymų / supervizijų organizavimas mokyklos bendruomenių komandoms</t>
  </si>
  <si>
    <t>Priemonė. Įrangos įsigijimas pedagoginei - psichologinei tarnybai</t>
  </si>
  <si>
    <t xml:space="preserve">Pagal žemdirbių profesinio meistriškumo ugdymo programą renginių ir konkursų organizavimas (Metų ūkis, Jaunasis ūkininkas, Gražiausia Jonavos rajono ūkininko sodyba, Kaimo žmonių pagerbimo šventė)
</t>
  </si>
  <si>
    <t xml:space="preserve">Įžuvinti vandens telkiniai: Lakštingalėlės, Gulbių, Kuigalių, Beržų. </t>
  </si>
  <si>
    <t>Įgyvendintas projektas "Jonavos, Kėdainių ir Raseinių rajonų savivaldybės jungiančių trasų ir turizmo maršrutų informacinės infrastruktūros plėtra"</t>
  </si>
  <si>
    <t>Suremontuota šildymo sistema (1 a.) (vnt.)</t>
  </si>
  <si>
    <t>Atnaujinta transporto aikštelė prie centrinio įėjimo (vnt.)</t>
  </si>
  <si>
    <t>Suremontuotos patalpos (spec. ugdymo skyriaus patalpų ir lauko laiptų remontas) (vnt.)</t>
  </si>
  <si>
    <t>Įrengti kaloriferiai aktų salėje (vnt.)</t>
  </si>
  <si>
    <t xml:space="preserve">Jonavos  "Neries" pagrindinės mokyklos pastato ir aplinkos atnaujinimas. Tarybos sprendimu 2019-05-30 Nr.1TS-106 SB lėšų likutis, skirtas aktų salės apšildymo sutvarkymui buvo perskirstytas transporto aikštelės atnaujinimui - 26,8 tūkst. Eur  </t>
  </si>
  <si>
    <t>Pakeistos dalies mokyklos tvoros ilgis (m)</t>
  </si>
  <si>
    <t>Įsigytas inventorius (vnt.)</t>
  </si>
  <si>
    <t xml:space="preserve">Jonavos r. Šveicarijos progimnazijos pastato ir aplinkos atnaujinimas. Tarybos sprendimais 2019-07-04 Nr.1TS-143 ir 2019-11-21 Nr.1TS-209 SB lėšų likutis, skirtas ikimokyklinio ugdymo skyriaus tvoros pakeitimui buvo perskirstytas mokyklos tvoros pakeitimui ir inventoriaus įsigijimui (kompiuterinė įranga) - 10 tūkst. Eur </t>
  </si>
  <si>
    <t xml:space="preserve">Įgyvendintas projektas "Paslaugų ir asmenų aptarnavimo kokybės gerinimas Jonavos ajono savivaldybės viešojoje bibliotekoje ir Jonavos rajono savivaldybės administracijoje".                                                                                      </t>
  </si>
  <si>
    <r>
      <t>Jonavos rajone įregistruotų ūkininkų ūkių skaičius/</t>
    </r>
    <r>
      <rPr>
        <i/>
        <sz val="11"/>
        <color theme="1"/>
        <rFont val="Times New Roman"/>
        <family val="1"/>
        <charset val="186"/>
      </rPr>
      <t>ūkio vienetų</t>
    </r>
    <r>
      <rPr>
        <sz val="11"/>
        <color theme="1"/>
        <rFont val="Times New Roman"/>
        <family val="1"/>
        <charset val="186"/>
      </rPr>
      <t xml:space="preserve"> (vnt.)</t>
    </r>
  </si>
  <si>
    <r>
      <t>Įvykdytų mobilizacijos paskaitų/</t>
    </r>
    <r>
      <rPr>
        <i/>
        <sz val="11"/>
        <color theme="1"/>
        <rFont val="Times New Roman"/>
        <family val="1"/>
        <charset val="186"/>
      </rPr>
      <t>posėdžių</t>
    </r>
    <r>
      <rPr>
        <sz val="11"/>
        <color theme="1"/>
        <rFont val="Times New Roman"/>
        <family val="1"/>
        <charset val="186"/>
      </rPr>
      <t xml:space="preserve"> skaičius (vnt.) </t>
    </r>
  </si>
  <si>
    <t>Parengtas Jonavos r. savivaldybės ilgalaikis strateginis plėtros planas iki 2027 m.</t>
  </si>
  <si>
    <t xml:space="preserve">Piniginės lėšos Kauno regiono plėtros agentūros 2019 m. darbo plane numatytų programų įgyvendinimui (regioninis bendradarbiavimas, tarptautinis bendradarbiavimas, įvaizdžio formavimas, ES struktūrinės paramos projektų 2014-2020 m. regimas ir įgyvendinimas, "Sveikatą stiprinantis regionas") </t>
  </si>
  <si>
    <r>
      <t>Dalyvavusių kvalifikacijos kėlimo mokymuose skaičius/</t>
    </r>
    <r>
      <rPr>
        <i/>
        <sz val="11"/>
        <color theme="1"/>
        <rFont val="Times New Roman"/>
        <family val="1"/>
        <charset val="186"/>
      </rPr>
      <t>sudarytos sutartys dėl kvalifikacijos kėlimo paslaugų</t>
    </r>
    <r>
      <rPr>
        <sz val="11"/>
        <color theme="1"/>
        <rFont val="Times New Roman"/>
        <family val="1"/>
        <charset val="186"/>
      </rPr>
      <t xml:space="preserve"> (vnt.)</t>
    </r>
  </si>
  <si>
    <t>Kvalifikacijos kėlimas. Kvalifikacijos kėlimo mokymuose dalyvavusiųjų skaičius nefiksuojamas</t>
  </si>
  <si>
    <t xml:space="preserve">Įgyvendinamas projektas "Jonavos mokyklos - darželio "Bitutė" atnaujinimas".    </t>
  </si>
  <si>
    <t>Sutvarkytos žalios vejos plotas skyriaus "Pušaitė" teritorijoje (ha)</t>
  </si>
  <si>
    <t>Įsigyta duomenų valdymo sistema (vnt.)</t>
  </si>
  <si>
    <t>Suremontuotų patalpų skaičius (Rimkų filialo) (vnt.)</t>
  </si>
  <si>
    <t>Pradėtas įgyvendinti ES projektas "Gerovės užtikrinimas teikiant kompleksines paslaugas negalią turintiems asmenims, gaunantiems ilgalaikės socialinės globos paslaugas".                                                                                                           Tarybos sprendimu 2019-12-19 Nr.1TS-247 buvo skirta SB lėšų - 4,5 tūkst. Eur, ES lėšų - 6,2 tūkst. Eur.</t>
  </si>
  <si>
    <t xml:space="preserve">Apmokamos savivaldybės butų renovuotuose daugiabučiuose kredito ir palūkanų įmokos. Išlaidos kompensuojamos valstybės lėšomis. 2019 m. buvo baigti renovuoti 11 namų (pasirašyti darbų užbaigimo aktai). Jonavos rajono energinio efektyvumo didinimo daugiabučiuose namuose programos įgyvendinimas tęsiamas. </t>
  </si>
  <si>
    <t>Nugriautas pastatas (vnt.)</t>
  </si>
  <si>
    <t>Nugriautas apleistas pastatas</t>
  </si>
  <si>
    <t>Atnaujintas Ruklos KC (sutvarkyta pastato išorė ir vidus, įsigyta įranga ir baldai) (vnt.)</t>
  </si>
  <si>
    <t>Surengtų seminarų/mokymų mokymų vaiko gerovės komisijos nariams ir šeimoms skaičius (vnt.)</t>
  </si>
  <si>
    <t>Savivaldybėje teikiamų švietimo, socialinių ir sveikatos priežiūros paslaugų vaikams nuo gimimo iki 18 metų (turintiems didelių ir labai didelių specialiųjų ugdymosi poreikių – iki 21 metų) ir jų tėvams (globėjams, rūpintojams) paslaugų organizavimas.</t>
  </si>
  <si>
    <t xml:space="preserve">Projekto "Kokybės krepšelis" tikslas – pagerinti mokinių ugdymosi pasiekimus, įgyvendinant pokyčius savivaldybėse ir mokyklose. 2019 m. gautos ES lėšos Žeimių mokyklos-daugiafunkcio centro (Švietimo, mokslo ir sporto ministerijos įtraukto į Stiprią geros mokyklos požymių raišką turinčių mokyklų sąrašą) veiklos tobulinimo plano įgyvendinimo finansavimui.                                                                                                               </t>
  </si>
  <si>
    <r>
      <t xml:space="preserve">Suorganizuotų rajoninių renginių, koncertų ir konkursų skaičius/ </t>
    </r>
    <r>
      <rPr>
        <i/>
        <sz val="11"/>
        <color theme="1"/>
        <rFont val="Times New Roman"/>
        <family val="1"/>
        <charset val="186"/>
      </rPr>
      <t>dalyvauta surengtuose konkursuose, festivaliuose, koncertuose</t>
    </r>
    <r>
      <rPr>
        <sz val="11"/>
        <color theme="1"/>
        <rFont val="Times New Roman"/>
        <family val="1"/>
        <charset val="186"/>
      </rPr>
      <t xml:space="preserve"> (vnt.)</t>
    </r>
  </si>
  <si>
    <t>Melioracijos statinių techninių projektų, eksploatavimo taisyklių parengimas</t>
  </si>
  <si>
    <t xml:space="preserve">Melioracija ir drenažo sistemų remontas </t>
  </si>
  <si>
    <t>Hidrotechninių statinių remontas ir priežiūra</t>
  </si>
  <si>
    <t>Biudžetinių įstaigų liftų ir keltuvų aptarnavimas bei priežiūra</t>
  </si>
  <si>
    <t>Virbalų ir Juodmenos kvartalo elektros linijų eksploatavimas</t>
  </si>
  <si>
    <t>Sutvarkyta kiemo aikštelė (vnt.)</t>
  </si>
  <si>
    <t>Modernizuotas pastatas (vnt.)</t>
  </si>
  <si>
    <t>Suremontuotas sporto salės stogas (vnt.)</t>
  </si>
  <si>
    <t>Įrengti šviestuvai skyriaus "Pušaitė" teritorijoje (vnt.)</t>
  </si>
  <si>
    <t>Pakeista patalpų grindų danga (vnt.)</t>
  </si>
  <si>
    <t>Įrengta apsauginės ir priešgaisrinės signalizacijos sistema (vnt.)</t>
  </si>
  <si>
    <t>Įgyvendinta programa (vnt.)</t>
  </si>
  <si>
    <t xml:space="preserve">Įgyvendintas projektas "Neformaliojo švietimo infrastruktūros tobulinimas". Dar negrąžintos ES lėšos.                                                                                                                                               Tarybos sprendimu 2019-07-04 Nr.1TS-143 buvo skirta papildomai SB lėšų - 10,5 tūkst. Eur              </t>
  </si>
  <si>
    <t>Įgyvendintų koordinuotos pagalbos vaikams ir šeimoms priemonių skaičius (suorganizuota/dalyvauta Vaiko gerovės komisijos posėdžiuose; organizuota seminarų/mokymų/konferencijų/diskusijų;  dalyvauta susitikimuose/mokymuose) (vnt.)</t>
  </si>
  <si>
    <t>Atnaujintos patalpos (vnt.)</t>
  </si>
  <si>
    <t>Įrengtos stadiono ir vidaus stebėjimo kameros (vnt.)</t>
  </si>
  <si>
    <t>Savivaldybės tuščių butų išlaikymas, gyventojų iškeldinimas iš savivaldybės butų. Rezultatas priklauso nuo to kiek atsilaisvina būstų, kokios jie kokybės ir kiek užtrunkama jo remontui bei naujo nuomininko paieškai, taip pat priklauso ir nuo iškeldinimo procesų trukmės teismuose. Visi šie veiksniai yra sunkiai prognozuojami</t>
  </si>
  <si>
    <t>Vaikų, netekusių tėvų globos, išlaikymas kito pavaldumo globos įstaigose. Vykdoma institucinės globos pertvarka</t>
  </si>
  <si>
    <t xml:space="preserve">Kultūros vertybių tvarkymo ir išsaugojimo darbų programos priemonių  įgyvendinimas. </t>
  </si>
  <si>
    <t>Įgyvendintas projektas "Kraštovaizdžio formavimas ir ekologinės būklės gerinimas Taurostos parke Jonavoje". 2019 metais buvo atlikti rangos darbų pirkimai, po kurių projekte atsirado apie 10 procentų sutaupymų, apie kuriuos tų pačių metų pradžioje nebuvo žinoma. Be to planuojant pinigus rangos darbams, šiek tiek lėšų buvo numatyta papildomų darbų atsiradimo rizikai suvaldyti.  Projekto eigoje atsiradus papildomiems darbams, buvo naudotos ne šios projekte suplanuotos lėšos, o KPPP lėšos</t>
  </si>
  <si>
    <t>Įgyvendintas projektas "Elektromobilių įkrovimo prieigų tinklo kūrimas Jonavos mieste". 2019 metais buvo atlikti įrangos ir rangos darbų pirkimai, po kurių projekte atsirado apie 40 proc. sutaupymų, apie kuriuos 2019 metų pradžioje nebuvo žinoma. Be to planuojant pinigus stotelių įrengimo rangos darbams, šiek tiek lėšų buvo numatyta papildomų darbų atsiradimo rizikai suvaldyti</t>
  </si>
  <si>
    <t>2020 m. rugpjūčio     d.</t>
  </si>
  <si>
    <t xml:space="preserve">Ši priemonė buvo pradėta įgyvendinti tik 2019 m. Dėl privačių namų servituto nustatymo priemonė 2019 m. Jonavos rajone neįgyvendinta. </t>
  </si>
  <si>
    <t>Įsigytų gaisrinių automobilių skaičius, už kuriuos mokamas lizingo mokestis (vnt.)</t>
  </si>
  <si>
    <t xml:space="preserve">Vietoj inventoriaus įsigijimo buvo pakeisti Ruklos ir Bukonių ugniagesių komandų pastatų vartai.                                                                                                                Tarybos sprendimais 2019-09-19 Nr.1TS-172 ir 2019-12-19 Nr.1TS-247  buvo skirta papildomai lėšų JPGT veiklai vykdyti - 4,5 tūkst. Eur. </t>
  </si>
  <si>
    <t>Tikslas. Užtikrinti asmens sveikatos priežiūros paslaugų teikimą ir jų kokybę</t>
  </si>
  <si>
    <t>Uždavinys.  Gerinti sveikatos priežiūros paslaugų kokybę, pasiekiamumą, materialinę bazę, tobulinti darbuotojų kvalifikaciją</t>
  </si>
  <si>
    <t>Priemonė. VšĮ Jonavos greitosios medicininės pagalbos stoties įstatinio kapitalo didinimas</t>
  </si>
  <si>
    <t>VšĮ Jonavos greitosios medicininės pagalbos stoties dalininko piniginis įnašas</t>
  </si>
  <si>
    <t>SL</t>
  </si>
  <si>
    <r>
      <t xml:space="preserve">Pastatytų mažosios architektūros objektų skaičius, </t>
    </r>
    <r>
      <rPr>
        <i/>
        <sz val="11"/>
        <rFont val="Times New Roman"/>
        <family val="1"/>
        <charset val="186"/>
      </rPr>
      <t>medžiai ir krūmai</t>
    </r>
    <r>
      <rPr>
        <sz val="11"/>
        <rFont val="Times New Roman"/>
        <family val="1"/>
        <charset val="186"/>
      </rPr>
      <t xml:space="preserve"> (vnt.) </t>
    </r>
  </si>
  <si>
    <t xml:space="preserve">Tarybos sprendimu 2019-05-30 Nr.1TS-106 buvo skirta papildomai SB lėšų - 33 tūkst. Eur  </t>
  </si>
  <si>
    <t>Priemonė nebuvo įgyvendinta, nes užstrigo projektavimo darbai, Kelių direkcija su NŽT neatsidalina sklypų. Lėšos perskirstyros kitų priemonių įgyvendinimui</t>
  </si>
  <si>
    <t>Jonavos pirminės sveikatos priežiūros centro pastato atnaujinimas</t>
  </si>
  <si>
    <t xml:space="preserve">Įgyvendintas projektas "Jonavos r. sav. viešosios įstaigos Jonavos ligoninės atnaujinimas ir sterilizacijos proceso modernizavimas, Žeimių g. 19 Jonava" </t>
  </si>
  <si>
    <t xml:space="preserve">Jonavos suaugusiųjų ir jaunimo mokymo centro patalpų atnaujinimas </t>
  </si>
  <si>
    <t>Savivaldybės būsto remontas ir administravimas</t>
  </si>
  <si>
    <t>Įrengtas Ramybės skveras Miesto parke</t>
  </si>
  <si>
    <t>Įrengtas dviračių/pėsčiųjų takas pagal projektą "Dviračių tako nuo Taurostos parko iki kelio A6 Kaunas-Zarasai-Daugpilis tilto trišalės sankryžos Jonavos mieste statyba"</t>
  </si>
  <si>
    <r>
      <t>Jonavos  kultūros centro darbuotojų darbo užmokesčio ir socialinio draudimo mokėjimas, interneto, vandens aparato nuoma, reklama, spausdinimo paslaugos, medikamentų įsigijimas ir darbuotojų sveikatos tikrinimas, ryšių paslaugų aptarnavimas, kvalifikacijos kėlimas ir kt. K</t>
    </r>
    <r>
      <rPr>
        <sz val="11"/>
        <rFont val="Times New Roman"/>
        <family val="1"/>
        <charset val="186"/>
      </rPr>
      <t>oncertų, spektaklių, parodų, edukacinių renginių, kino filmų pramoginės muzikos koncertų ir kitų renginių organizavimas</t>
    </r>
  </si>
  <si>
    <t>Jonavos krašto muziejaus darbuotojų darbuotojų darbo užmokesčio ir soc. draudimo mokėjimas, eksponatų įsigijimas, parodų organizavimas, darbuotojų kvalifikacijos kėlimas, komandiruočių finansavimas, modernių ekspozicijos priemonių įsigyjimas, ekskursijų organizavimas ir kt.</t>
  </si>
  <si>
    <t>Priemonė. Jonavos savivaldybės teatro veikla</t>
  </si>
  <si>
    <t xml:space="preserve">Jonavos kultūros centro teatro darbuotojų darbo užmokesčio ir soc. draudimo mokėjimas, spektaklių ir renginių įgyvendinimas bei jų organizavimas ir pristatymas </t>
  </si>
  <si>
    <t xml:space="preserve">Jonavos kūno kultūros ir sporto centro darbuotojų darbo užmokesčio ir soc. draudimo mokėjimas, ryšių paslaugos, kvalifikacijos kėlimas, medikamentų įsigijimas ir darbuotojų sveikatos patikrinimas, spaudinių prenumeravimas ir kt.                                                                                                    Tarybos sprendimu 2019-11-21 Nr.1TS-209 buvo skirta papildomai lėšų - 3,4 tūkst. Eur ir perkeltas lėšų likutis iš sveikatingumo ir sporto programos.                          </t>
  </si>
  <si>
    <t xml:space="preserve">Jonavos rajono neįgaliųjų veiklos centro darbuotojų darbo užmokesčio ir soc. draudimo mokėjimas, neįgalių asmenų maitinimas, medikamentų įsigyjimas ir darbuotojų sveikatos patikrinimas, ryšių paslaugos, neįgaliųjų aprūpinimas apranga ir patalyne, dalyvavimas renginiuose, projektinėje veikloje.                                                                                                          Tarybos sprendimu 2019-11-21 Nr.1TS-209 buvo skirta papildomai VB lėšų socialinei globai asmenims su sunkia negalia - 7 tūkst. Eur. </t>
  </si>
  <si>
    <t xml:space="preserve">Jonavos globos namų darbuotojų darbo užmokesčio ir soc. draudimo mokėjimas, asmenų maitinimas,  medikamentų įsigyjimas ir darbuotojų sveikatos patikrinimas, ryšių paslaugos, dalyvavimas seminaruose ir kt.                                                    Tarybos sprendimu 2019-11-21 Nr.1TS-209 buvo skirta papildomai VB lėšų socialinei globai asmenims su sunkia negalia- 49 tūkst. Eur.              </t>
  </si>
  <si>
    <t>Jonavos rajono socialinių paslaugų centro darbuotojų darbo užmokesčio ir soc. draudimo mokėjimas, aprangos ir patalynės įsigijimas ir kt. 2019 m. papildomai pavestos vykdyti atvejo vadybos šeimoms ir globos centro funkcijos.                                                                                      Tarybos sprendimu 2019-09-19 Nr.1TS-172 buvo skirta papildomai finansavimo iš pajamų už teikiamas paslaugas lėšų - 5 tūkst. Eur.</t>
  </si>
  <si>
    <t xml:space="preserve">Įgyvendintas projektas „Socialinių paslaugų Jonavoje gyvenantiems kitataučiams sukūrimas ir organizavimas“.                                                                          Tarybos sprendimais 2019-07-04 Nr.1TS-143 ir 2019-11-21 Nr.1TS-209 buvo skirta ES lėšų - 23,2 tūkst. Eur. </t>
  </si>
  <si>
    <t xml:space="preserve">Įgyvendintas projektas „Vaikų gerovės ir saugumo didinimo, paslaugų šeimai, globėjams (rūpintojams) kokybės didinimo ir prieinamumo plėtra“.                                                                                                                       Tarybos sprendimais 2019-03-28 Nr.1TS-30 ir 2019-11-21 Nr.1TS-209 buvo skirta ES lėšų - 105,4 tūkst. Eur. </t>
  </si>
  <si>
    <t>Jonavos vaiko ir gerovės centro darbuotojų darbo užmokestis ir socialinio draudimo mokėjimas, darbuotojų kvalifikacijos kėlimas, globojamų vaikų maitinimas, globojamų vaikų sveikatinimas ir gydymas, pažintinių kelionių organizavimas ir kt. Bendruomeninių vaikų globos namų išlaikymas</t>
  </si>
  <si>
    <t>Jonavos miesto nakvynės namų darbuotojų darbo užmokesčio ir socialinio draudimo mokėjimai, paslaugų teikimas socialinės rizikos suaugusiems asmenims, ryšių paslaugos, darbuotojų kvalifikacijos kėlimas ir kt.</t>
  </si>
  <si>
    <t xml:space="preserve">Įsigyta medicininė įranga (defibriliatorius) (vnt.)   </t>
  </si>
  <si>
    <t xml:space="preserve">Jonavos rajono kaimo seniūnijų komunalinio ūkio darbuotojų darbo užmokesčio ir soc. draudimo mokėjimas </t>
  </si>
  <si>
    <t>Įrengtas parkas (vnt.)</t>
  </si>
  <si>
    <r>
      <t xml:space="preserve">Įgyvendinta programa/ </t>
    </r>
    <r>
      <rPr>
        <i/>
        <sz val="11"/>
        <color rgb="FF000000"/>
        <rFont val="Times New Roman"/>
        <family val="1"/>
        <charset val="186"/>
      </rPr>
      <t xml:space="preserve">suteikta parama sodininkų bendrijoms </t>
    </r>
    <r>
      <rPr>
        <sz val="11"/>
        <color indexed="8"/>
        <rFont val="Times New Roman"/>
        <family val="1"/>
        <charset val="186"/>
      </rPr>
      <t>(vnt.)</t>
    </r>
  </si>
  <si>
    <t>Palūkanų mokėjimas, baigtas lengvųjų automobilių (8 vnt.) išpirkimas lizingo būdu</t>
  </si>
  <si>
    <t>Objektų registravimas ir registracijos tikslinimas</t>
  </si>
  <si>
    <t>Suremontuotas pastato I a. korpusas (vnt.)</t>
  </si>
  <si>
    <t>Atnaujinta šildymo sistema ir vandentiekis (vnt.)</t>
  </si>
  <si>
    <t xml:space="preserve">Įsigytos UAB "Lietuvos žinios" patalpos, buvusios Jonavos KC II a.                                                             Tarybos sprendimu 2019-11-21 Nr.1TS-209 buvo skirtos SB lėšos - 22 tūkst. Eur        </t>
  </si>
  <si>
    <t>Pasirašyta turto pirkimo-pardavimo sutartis (vnt.)</t>
  </si>
  <si>
    <t>Pastatų Chemikų g.136, Klaipėdos g.15 Jonavoje, Karaliaus Mindaugo g.7 Rukloje ir Pergalės g.1 Kuigaliuose išlaikymas ir tvarkymas</t>
  </si>
  <si>
    <t>Kultūros centrų lankytojų ir dalyvių skaičius (asm.)</t>
  </si>
  <si>
    <r>
      <t xml:space="preserve">2019-2021 m. strateginio veiklos plano įgyvendinimo 2019 m. ataskaita sudaryta iš 8 programų, o kiekviena programa yra esminė strateginio veiklos plano įgyvendinimo ataskaitos dalis. Ataskaita rengta renkant duomenis iš asignavimų valdytojų, atsakingų programas koordinuojančių asmenų, atskirus finansavimo šaltinius administruojančių asmenų. Ataskaitos suvestinė rodo, kad plano vykdymas pinigais yra </t>
    </r>
    <r>
      <rPr>
        <i/>
        <sz val="10"/>
        <rFont val="Times New Roman"/>
        <family val="1"/>
        <charset val="186"/>
      </rPr>
      <t xml:space="preserve">96,3 proc. </t>
    </r>
    <r>
      <rPr>
        <i/>
        <sz val="10"/>
        <color indexed="8"/>
        <rFont val="Times New Roman"/>
        <family val="1"/>
        <charset val="186"/>
      </rPr>
      <t>Ataskaita rodo ir planuotų rodiklių įgyvendinimą/ pasiekimą, tačiau ne visoms priemonėms plane buvo numatyti vertinimo rodikliai. Taip pat yra rizika, kad ne visi atsakingi asmenys pateikė tikslią informaciją apie veiklos rodiklius bei kitus finansavimo šaltinius.</t>
    </r>
  </si>
  <si>
    <t>Teatro lankytojų ir dalyvių skaičius (asm.)</t>
  </si>
  <si>
    <t xml:space="preserve">Įgyvendinta Ruklos parapijos Carito vaikų dienos centro programa (vnt.)  </t>
  </si>
  <si>
    <t>Transporto priemonės remontas (vnt.)</t>
  </si>
  <si>
    <t>Stipedijų skyrimas mažas pajamas gaunantiems ir gerai besimokantiems mokiniams</t>
  </si>
  <si>
    <t>Jonavos rajono savivaldybės pedagoginės psichologinės tarnybos darbuotojų darbo užmokesčio ir socialinio draudimo mokėjimas, interneto, vandens aparato nuoma, reklama, spausdinimo paslaugos, medikamentų įsigijimas ir darbuotojų sveikatos tikrinimas, ryšių paslaugų aptarnavimas, kvalifikacijos kėlimas ir kt.</t>
  </si>
  <si>
    <t>Priemonė neįgyvendinta, tarybos sprendimu 2019-11-21 Nr.1TS-209 lėšos perskirstytos kitų priemonių įgyvendinimui</t>
  </si>
  <si>
    <t xml:space="preserve">Jonavos rajono savivaldybės viešosios bibliotekos darbuotojų darbo užmokesčio mokėjimas, renginių, konkursų organizavimas, VB ir filialų dokumentų fondų komplektavimas, LIBIS skaitytojų posistemės diegimas kaimo filialuose, leidybinė veikla, baldų įsigijimas, metodinė veikla ir kt.                                                                                                                 Tarybos sprendimais 2019-03-28 Nr.1TS-30, 2019-11-21 Nr.1TS-209 ir  2019-12-19 Nr.1TS-247 buvo skirta papildomai SB lėšų - 10 tūkst. Eur ir projekto "Biblioteka - tai Jūs ir mes" įgyvendinimui ES lėšų - 6,5 tūkst. Eur.           </t>
  </si>
  <si>
    <t xml:space="preserve">Jonavos Janinos Miščiukaitės meno mokyklos darbuotojų darbo užmokesčio ir soc. draudimo mokėjimas, neformalaus ugdymo organizavimas ir  įgyvendinimas.                                                                                                                 Tarybos sprendimais 2019-11-21 Nr.1TS-209 ir 2019-12-19 Nr.1TS-247 buvo skirta papildomai lėšų - 18,3 tūkst. Eur. </t>
  </si>
  <si>
    <t xml:space="preserve">DU sporto organizatoriams kaimo seniūnijose, kurios dalyvavo Jonavos rajono seniūnijų sporto žaidynėse  </t>
  </si>
  <si>
    <t>Būsto pritaikymas neįgaliesiems.                                                                                                        Tarybos sprendimu 2019-11-21 Nr.1TS-209 buvo skirta papildomai lėšų - 5,4 tūkst. Eur.</t>
  </si>
  <si>
    <t>Priemonė neįgyvendinta. 2019 m. neatsirado norinčių pasinaudoti būsto nuomos mokesčio kompensavimo galimybe</t>
  </si>
  <si>
    <t xml:space="preserve">Įgyvendinamos visuomenės sveikatos rėmimo specialiosios programos priemonės: Jonavos rajono gyventojų fizinio aktyvumo skatinimas - traumatizmo profilaktika; priklausomybės nuo alkoholio ir kitų psichotropinių medžiagų mažinimas Jonavos rajone; paviršinių vandens telkinių tyrimų atlikimas Jonavos rajono  maudymosi vietų poilsio zonose; įrengtos vaikų žaidimo aikštelės; atlikti cheminiai maisto tyrimai; organizuotos  konferencijos ir šventės; atliktas aplinkos triukšmo monitoringas ir triukšmo tyrimas Jonavos rajone; sveikatos stiprinimo veiklos Jonavos miesto gyventojams ir kaimo bendruomenėms; šachtinių šulinių tyrimų atlikimas Jonavos rajono ir miesto seniūnijose; profilaktinių ir prevencinių priemonių informacijos sklaida; sveikatos paslaugų prienamumo gerinimas Jonavos rajone. </t>
  </si>
  <si>
    <t>Įgyvendinamas projektas "Jonavos rajono savivaldybės gyventojų ligų profilaktikos, prevencijos ir ankstyvosios diagnostikos paslaugų kokybės ir prieinamumo gerinimas". Finansavimo sutartis pasirašyta 2019 m.</t>
  </si>
  <si>
    <t xml:space="preserve">Beprocentinių paskolų išdavimas ir negrąžintinos finansinės paramos teikimas smulkioms ir vidutinėms įmonėms bei ūkininkams. Lėšos šiai priemonei surenkamos iš grąžintų paskolų </t>
  </si>
  <si>
    <t xml:space="preserve">Statybos leidimų gavimas </t>
  </si>
  <si>
    <t xml:space="preserve">Jonavos priešgaisrinės gelbėjimo tarnybos orgaizuojamos prevencinės programos "Jonava be gaisrų" akcijos.                                                                                                                       Tarybos sprendimu 2019-03-28 Nr.1TS-30 buvo skirta papildomai lėšų - 20 tūkst. Eur.              </t>
  </si>
  <si>
    <t>Priemonė nebuvo įgyvendinta. Lėšos perskirstytos kitų priemonių įgyvendinimui</t>
  </si>
  <si>
    <t xml:space="preserve">Gerbūvio tvarkymas Miesto seniūnijoje.                                                                                                                     Tarybos sprendimais 2019-05-30 Nr.1TS-106 ir 2019-09-19 Nr.1TS-172  buvo skirta papildomai SB lėšų daugiabučių namų kiemų atnaujinimui - 57 tūkst. Eur, žaidimų, laisvalaikio ir sporto zonų įrengimui - 40 tūkst. Eur, gatvių, pėsčiųjų ir dviračių takų apšvietimo įrengimui - 11,5 tūkst. Eur. </t>
  </si>
  <si>
    <t xml:space="preserve">Gerbūvio tvarkymas Kulvos seniūnijoje.                                                                                                 Tarybos sprendimu 2019-03-28 Nr.1TS-30 buvo skirtos SB lėšos transporto priemonės remontui - 2,9 tūkst. Eur. </t>
  </si>
  <si>
    <t xml:space="preserve">Gerbūvio tvarkymas Žeimių seniūnijoje.                                                                                               Tarybos sprendimu 2019-09-19 Nr.1TS-172 buvo skirtos SB lėšos aikštelės įrengimui prie Žeimių mstl. kapinių - 6,5 tūkst. Eur.  </t>
  </si>
  <si>
    <t xml:space="preserve">Pradėtas įgyvendinti projektas "Įvažiavimo kelio tarp Jonavos m. Chemikų g. 98 ir 138A namų tiesimas".                                                                                                                                               Tarybos sprendimais 2019-09-19 Nr.1TS-172 ir 2019-11-21 Nr.1TS-209 buvo skirta SB lėšų - 53 tūkst. Eur, ES lėšų - 187,3 tūkst. Eur ir nuosavam indėliui užtikrinti numatyta dotacija VB lėšomis - 74,6 tūkst. Eur.                               </t>
  </si>
  <si>
    <t>Planuojamas įgyvendinti projektas "Darnaus judumo priemonių diegimas Jonavos mieste". 2019-11-28 pateikta projekto paraiška.                                                                   2019 m. priemonei numatytos lėšos perskirstytos kitų priemonių įgyvendinimui.</t>
  </si>
  <si>
    <t xml:space="preserve">Jonavos vaikų lopšelio - darželio "Lakštingalėlė" pastato ir aplinkos atnaujinimas.                                                                                                                                         Tarybos sprendimu 2019-09-19 Nr.1TS-172 buvo skirtos SB lėšos teritorijos betoninių dangų ir kitų architektūrinių elementų išardymo ir pašalinimo darbams - 12 tūkst. Eur </t>
  </si>
  <si>
    <t>Jonavos r. savivaldybės viešosios bibliotekos pastato atnaujinimas</t>
  </si>
  <si>
    <t xml:space="preserve">Įgyvendinamas projektas "Pabėgėlių integracijos skatinimas" </t>
  </si>
  <si>
    <t xml:space="preserve">Nugriautas ūkinis pastatas, esantis Jonavoje Panerių g.7.                                                                  Tarybos sprendimu 2019-05-30 Nr.1TS-106 buvo skirtos SB lėšos - 4 tūkst. Eur      </t>
  </si>
  <si>
    <t xml:space="preserve">                                                                                                        Tarpinstitucinio bendradarbiavimo koordinatoriaus funkcijai įgyvendinti savivaldybėje skirtas 1 etatas, kuris koordinuoja savivaldybėje teikiamų švietimo, socialinių ir sveikatos priežiūros paslaugų vaikams nuo gimimo iki 18 metų (turintiems didelių ir labai didelių specialiųjų ugdymosi poreikių – iki 21 metų) ir jų tėvams (globėjams, rūpintojams) paslaugų organizavimą. Tarybos sprendimu 2019-03-28 Nr.1TS-30 buvo skirta VBD lėšų - 18 tūkst. Eur.  </t>
  </si>
  <si>
    <t xml:space="preserve">Įgyvendinti tarptautinio bendradarbiavimo projektai </t>
  </si>
  <si>
    <t>Įstaigą lankančių vaikų skaičius (asm.)</t>
  </si>
  <si>
    <t>Mokinių skaičius su specialiaisiais ugdymo poreikiais (asm.)</t>
  </si>
  <si>
    <t>Vaikų, dalyvaujančių socializacijos programose, skaičius (asm.)</t>
  </si>
  <si>
    <t>Trečio amžiaus universitetą lankančių skaičius (asm.)</t>
  </si>
  <si>
    <t>Švietimo įstaigų, kuriose pagerinta paslaugų kokybė, skaičius (vnt.)</t>
  </si>
  <si>
    <r>
      <t>PPT organizuotų seminarų/</t>
    </r>
    <r>
      <rPr>
        <i/>
        <sz val="11"/>
        <color theme="1"/>
        <rFont val="Times New Roman"/>
        <family val="1"/>
        <charset val="186"/>
      </rPr>
      <t>renginių</t>
    </r>
    <r>
      <rPr>
        <sz val="11"/>
        <color theme="1"/>
        <rFont val="Times New Roman"/>
        <family val="1"/>
        <charset val="186"/>
      </rPr>
      <t xml:space="preserve"> klausytojų skaičius (asm.)</t>
    </r>
  </si>
  <si>
    <t>PPT įvertintų specialiųjų ugdymosi poreikių vaikų skaičius (asm.)</t>
  </si>
  <si>
    <t>Viešosios bibliotekos skaitytojų skaičius (asm.)</t>
  </si>
  <si>
    <t>Viešosios bibliotekos lankytojų skaičius (asm.)</t>
  </si>
  <si>
    <t>Muziejaus lankytojų ir dalyvių skaičius (asm.)</t>
  </si>
  <si>
    <t>Sportininkų, gaunančių sporto stipendijas, skaičius (asm.)</t>
  </si>
  <si>
    <t>Sportininkų ir trenerių, paskatintų už aukštus sportinius rezultatus, skaičius (asm.)</t>
  </si>
  <si>
    <t>Vaikų skaičius už kuriuos gaunamos išmokos (asm.)</t>
  </si>
  <si>
    <t>Išmokas privalomosios tarnybos karių vaikams gavusių skaičius (asm.)</t>
  </si>
  <si>
    <t>Neįgaliųjų veiklos centro paslaugų gavėjų skaičius (asm.)</t>
  </si>
  <si>
    <t>Soc.globos asmenų su sunkia negalia skaičius (asm.)</t>
  </si>
  <si>
    <t xml:space="preserve">Bendras socialinių paslaugų gavėjų skaičius (asm.) </t>
  </si>
  <si>
    <t xml:space="preserve">Socialinės priežiūros paslaugas, asmens namuose, gaunančiųjų skaičius (asm.) </t>
  </si>
  <si>
    <t>Nemokamą paramą maisto produktais gaunančių žmonių skaičius (asm.)</t>
  </si>
  <si>
    <t>Vienkartinių pašalpų gavėjų skaičius (asm.)</t>
  </si>
  <si>
    <r>
      <t>Kompleksines paslaugas gavusių asmenų/</t>
    </r>
    <r>
      <rPr>
        <i/>
        <sz val="11"/>
        <color theme="1"/>
        <rFont val="Times New Roman"/>
        <family val="1"/>
        <charset val="186"/>
      </rPr>
      <t>šeimų</t>
    </r>
    <r>
      <rPr>
        <sz val="11"/>
        <color theme="1"/>
        <rFont val="Times New Roman"/>
        <family val="1"/>
        <charset val="186"/>
      </rPr>
      <t xml:space="preserve"> skaičius (asm.)</t>
    </r>
  </si>
  <si>
    <t>Kompleksines paslaugas gavusių asmenų skaičius (asm.)</t>
  </si>
  <si>
    <t>Vienkartiniai bilietai su nuolaida (vnt.)</t>
  </si>
  <si>
    <t xml:space="preserve">Įgyvendinamas projektas "Užusalių pagrindinės mokyklos atnaujinimas ir pritaikymas bendruomenės poreikiams". Atlikti pastato išorės ir vidaus sutvarkymo darbai, įsigyta įranga ir baldai. Už rangos darbus ir įrangą privalėjome susimokėti JRS biudžeto lėšomis ir teikti sąskaitas NMA apmokėjimui išlaidų kompensavimo būdu vos keletą kartų per metus. Be to iki metų galo nebuvo patirtos visos planuotos įrangos ir baldų pirkimo išlaidos dėl užsitęsusių pirkimų procedūrų </t>
  </si>
  <si>
    <t>Įgyvendinamas projektas "Šveicarijos pagrindinės mokyklos pritaikymas bendruomenės poreikiams". Atlikti pastato išorės ir vidaus sutvarkymo darbai, įsigyta įranga ir baldai. Iki metų galo ne visos išlaidos buvo patirtos, kokios planuotos. Dalis įrangos ir baldų pirkimų nusikėlė į 2020 metus</t>
  </si>
  <si>
    <t xml:space="preserve">Vykdomi Jonavos r. savivaldybės kultūros centro modernizavimo darbai. Atliktas patalpų remontas ir įsigytas inventorius. Tarybos sprendimu 2019-11-21 Nr.1TS-209 buvo skirta papildomai SB lėšų modernizavimo darbams - 4 tūkst. Eur    </t>
  </si>
  <si>
    <t>Atnaujintos kultūros centro patalpos  (vnt.)</t>
  </si>
  <si>
    <t>Įgyvendintas projektas "Bukonių kultūros centro pastato atnaujinimas". Atlikti pastato išorės ir vidaus sutvarkymo darbai, įsigyta įranga ir baldai. Už rangos darbus ir įrangą privalėjome susimokėti JRS biudžeto lėšomis į priekį ir teikti NMA apmokėjimui išlaidų kompensavimo būdu vos keletą kartų per metus</t>
  </si>
  <si>
    <t>Atnaujintas mokyklos pastatas (vnt.)</t>
  </si>
  <si>
    <t>Atnaujintas Bukonių kultūros centro pastatas (vnt.)</t>
  </si>
  <si>
    <t>Suremontuotų savivaldybės būstų skaičius (vnt.)</t>
  </si>
  <si>
    <t>Jonavos rajono gyventojų skaičius (asm.)</t>
  </si>
  <si>
    <t>Asmenų, kurių neveiksnumas peržiūrėtas, skaičius (asm.)</t>
  </si>
  <si>
    <t>Globojamų asmenų skaičius (asm.)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</si>
</sst>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Arial"/>
      <family val="2"/>
      <charset val="186"/>
    </font>
    <font>
      <sz val="10"/>
      <name val="TimesLT"/>
      <charset val="186"/>
    </font>
    <font>
      <sz val="8"/>
      <name val="Times New Roman"/>
      <family val="1"/>
      <charset val="186"/>
    </font>
    <font>
      <sz val="11"/>
      <color theme="1"/>
      <name val="Times New Roman"/>
      <family val="1"/>
      <charset val="186"/>
    </font>
    <font>
      <sz val="16"/>
      <color theme="1"/>
      <name val="Times New Roman"/>
      <family val="1"/>
      <charset val="186"/>
    </font>
    <font>
      <b/>
      <sz val="12"/>
      <color theme="1"/>
      <name val="Times New Roman"/>
      <family val="1"/>
      <charset val="186"/>
    </font>
    <font>
      <b/>
      <sz val="11"/>
      <color theme="1"/>
      <name val="Times New Roman"/>
      <family val="1"/>
      <charset val="186"/>
    </font>
    <font>
      <i/>
      <sz val="10"/>
      <color theme="1"/>
      <name val="Times New Roman"/>
      <family val="1"/>
      <charset val="186"/>
    </font>
    <font>
      <i/>
      <sz val="10"/>
      <color indexed="8"/>
      <name val="Times New Roman"/>
      <family val="1"/>
      <charset val="186"/>
    </font>
    <font>
      <b/>
      <i/>
      <sz val="11"/>
      <color theme="1"/>
      <name val="Times New Roman"/>
      <family val="1"/>
      <charset val="186"/>
    </font>
    <font>
      <sz val="11"/>
      <name val="Times New Roman"/>
      <family val="1"/>
      <charset val="186"/>
    </font>
    <font>
      <sz val="11"/>
      <color indexed="8"/>
      <name val="Times New Roman"/>
      <family val="1"/>
      <charset val="186"/>
    </font>
    <font>
      <b/>
      <sz val="11"/>
      <name val="Times New Roman"/>
      <family val="1"/>
      <charset val="186"/>
    </font>
    <font>
      <b/>
      <sz val="11"/>
      <color theme="1"/>
      <name val="Times New Roman"/>
      <family val="1"/>
    </font>
    <font>
      <b/>
      <sz val="11"/>
      <name val="Times New Roman"/>
      <family val="1"/>
    </font>
    <font>
      <sz val="11"/>
      <color theme="1"/>
      <name val="Times New Roman"/>
      <family val="1"/>
    </font>
    <font>
      <sz val="10"/>
      <name val="Times New Roman"/>
      <family val="1"/>
      <charset val="186"/>
    </font>
    <font>
      <sz val="12"/>
      <name val="Times New Roman"/>
      <family val="1"/>
      <charset val="186"/>
    </font>
    <font>
      <sz val="12"/>
      <color theme="1"/>
      <name val="Calibri"/>
      <family val="2"/>
      <charset val="186"/>
      <scheme val="minor"/>
    </font>
    <font>
      <sz val="12"/>
      <name val="Times New Roman"/>
      <family val="1"/>
    </font>
    <font>
      <sz val="8"/>
      <name val="Calibri"/>
      <family val="2"/>
      <charset val="186"/>
      <scheme val="minor"/>
    </font>
    <font>
      <i/>
      <sz val="11"/>
      <name val="Times New Roman"/>
      <family val="1"/>
      <charset val="186"/>
    </font>
    <font>
      <i/>
      <sz val="11"/>
      <color theme="1"/>
      <name val="Times New Roman"/>
      <family val="1"/>
      <charset val="186"/>
    </font>
    <font>
      <i/>
      <sz val="11"/>
      <color rgb="FF000000"/>
      <name val="Times New Roman"/>
      <family val="1"/>
      <charset val="186"/>
    </font>
    <font>
      <i/>
      <sz val="10"/>
      <name val="Times New Roman"/>
      <family val="1"/>
      <charset val="186"/>
    </font>
  </fonts>
  <fills count="2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7" tint="-0.249977111117893"/>
        <bgColor indexed="64"/>
      </patternFill>
    </fill>
    <fill>
      <patternFill patternType="solid">
        <fgColor rgb="FF00B050"/>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0070C0"/>
        <bgColor indexed="64"/>
      </patternFill>
    </fill>
    <fill>
      <patternFill patternType="solid">
        <fgColor theme="1" tint="0.34998626667073579"/>
        <bgColor indexed="64"/>
      </patternFill>
    </fill>
  </fills>
  <borders count="7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diagonal/>
    </border>
  </borders>
  <cellStyleXfs count="9">
    <xf numFmtId="0" fontId="0" fillId="0" borderId="0"/>
    <xf numFmtId="9" fontId="1" fillId="0" borderId="0" applyFont="0" applyFill="0" applyBorder="0" applyAlignment="0" applyProtection="0"/>
    <xf numFmtId="0" fontId="3" fillId="0" borderId="0"/>
    <xf numFmtId="0" fontId="4" fillId="0" borderId="0"/>
    <xf numFmtId="0" fontId="3" fillId="0" borderId="0"/>
    <xf numFmtId="0" fontId="3" fillId="0" borderId="0"/>
    <xf numFmtId="0" fontId="4" fillId="0" borderId="0"/>
    <xf numFmtId="9" fontId="3" fillId="0" borderId="0" applyFont="0" applyFill="0" applyBorder="0" applyAlignment="0" applyProtection="0"/>
    <xf numFmtId="0" fontId="3" fillId="0" borderId="0"/>
  </cellStyleXfs>
  <cellXfs count="1062">
    <xf numFmtId="0" fontId="0" fillId="0" borderId="0" xfId="0"/>
    <xf numFmtId="0" fontId="2" fillId="0" borderId="13" xfId="0" applyFont="1" applyBorder="1" applyAlignment="1">
      <alignment vertical="top" wrapText="1"/>
    </xf>
    <xf numFmtId="0" fontId="6"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7" fillId="0" borderId="2" xfId="0" applyFont="1" applyBorder="1"/>
    <xf numFmtId="0" fontId="8" fillId="0" borderId="2" xfId="0" applyFont="1" applyBorder="1" applyAlignment="1">
      <alignment horizontal="center" vertical="center"/>
    </xf>
    <xf numFmtId="0" fontId="6" fillId="0" borderId="5" xfId="0" applyFont="1" applyBorder="1"/>
    <xf numFmtId="0" fontId="6" fillId="0" borderId="6" xfId="0" applyFont="1" applyBorder="1"/>
    <xf numFmtId="0" fontId="9" fillId="0" borderId="6" xfId="0" applyFont="1" applyBorder="1" applyAlignment="1">
      <alignment horizontal="center" vertical="center"/>
    </xf>
    <xf numFmtId="0" fontId="6" fillId="0" borderId="7" xfId="0" applyFont="1" applyBorder="1"/>
    <xf numFmtId="0" fontId="6" fillId="0" borderId="8" xfId="0" applyFont="1" applyBorder="1"/>
    <xf numFmtId="0" fontId="6" fillId="0" borderId="9" xfId="0" applyFont="1" applyBorder="1"/>
    <xf numFmtId="0" fontId="9" fillId="0" borderId="9" xfId="0" applyFont="1" applyBorder="1" applyAlignment="1">
      <alignment horizontal="center" vertical="center"/>
    </xf>
    <xf numFmtId="0" fontId="6" fillId="0" borderId="10" xfId="0" applyFont="1" applyBorder="1"/>
    <xf numFmtId="0" fontId="6" fillId="0" borderId="11" xfId="0" applyFont="1" applyBorder="1"/>
    <xf numFmtId="0" fontId="6" fillId="0" borderId="12" xfId="0" applyFont="1" applyBorder="1"/>
    <xf numFmtId="0" fontId="9" fillId="0" borderId="13" xfId="0" applyFont="1" applyBorder="1" applyAlignment="1">
      <alignment horizontal="left"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9" fillId="0" borderId="12" xfId="0" applyFont="1" applyBorder="1" applyAlignment="1">
      <alignment horizontal="left" vertical="center" wrapText="1"/>
    </xf>
    <xf numFmtId="49" fontId="13" fillId="0" borderId="0" xfId="3" applyNumberFormat="1" applyFont="1" applyAlignment="1">
      <alignment horizontal="left" vertical="center"/>
    </xf>
    <xf numFmtId="0" fontId="12" fillId="3" borderId="13" xfId="0" applyFont="1" applyFill="1" applyBorder="1" applyAlignment="1">
      <alignment horizontal="left" vertical="center"/>
    </xf>
    <xf numFmtId="0" fontId="9" fillId="3" borderId="13"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12" xfId="0" applyFont="1" applyFill="1" applyBorder="1" applyAlignment="1">
      <alignment horizontal="left" vertical="center"/>
    </xf>
    <xf numFmtId="0" fontId="9" fillId="0" borderId="1" xfId="0" applyFont="1" applyBorder="1" applyAlignment="1">
      <alignment horizontal="left" vertical="center"/>
    </xf>
    <xf numFmtId="0" fontId="12" fillId="4" borderId="2" xfId="0" applyFont="1" applyFill="1" applyBorder="1" applyAlignment="1">
      <alignment horizontal="left" vertical="center" wrapText="1"/>
    </xf>
    <xf numFmtId="0" fontId="9" fillId="3" borderId="12" xfId="0" applyFont="1" applyFill="1" applyBorder="1" applyAlignment="1">
      <alignment horizontal="left" vertical="center"/>
    </xf>
    <xf numFmtId="0" fontId="12" fillId="4" borderId="16" xfId="0" applyFont="1" applyFill="1" applyBorder="1" applyAlignment="1">
      <alignment horizontal="left" vertical="center" wrapText="1"/>
    </xf>
    <xf numFmtId="49" fontId="13" fillId="4" borderId="12" xfId="3" applyNumberFormat="1" applyFont="1" applyFill="1" applyBorder="1" applyAlignment="1">
      <alignment horizontal="left" vertical="center"/>
    </xf>
    <xf numFmtId="0" fontId="9" fillId="6" borderId="12" xfId="0" applyFont="1" applyFill="1" applyBorder="1" applyAlignment="1">
      <alignment horizontal="left" vertical="center" wrapText="1"/>
    </xf>
    <xf numFmtId="0" fontId="9" fillId="6" borderId="16" xfId="0" applyFont="1" applyFill="1" applyBorder="1" applyAlignment="1">
      <alignment horizontal="left" vertical="center" wrapText="1"/>
    </xf>
    <xf numFmtId="49" fontId="13" fillId="6" borderId="12" xfId="3" applyNumberFormat="1" applyFont="1" applyFill="1" applyBorder="1" applyAlignment="1">
      <alignment horizontal="left" vertical="center" wrapText="1"/>
    </xf>
    <xf numFmtId="0" fontId="9" fillId="6" borderId="12" xfId="0" applyFont="1" applyFill="1" applyBorder="1" applyAlignment="1">
      <alignment horizontal="left" vertical="center"/>
    </xf>
    <xf numFmtId="49" fontId="13" fillId="6" borderId="1" xfId="3" applyNumberFormat="1" applyFont="1" applyFill="1" applyBorder="1" applyAlignment="1">
      <alignment horizontal="left" vertical="center"/>
    </xf>
    <xf numFmtId="0" fontId="9" fillId="6" borderId="14" xfId="0" applyFont="1" applyFill="1" applyBorder="1" applyAlignment="1">
      <alignment horizontal="left" vertical="center" wrapText="1"/>
    </xf>
    <xf numFmtId="49" fontId="13" fillId="6" borderId="12" xfId="3" applyNumberFormat="1" applyFont="1" applyFill="1" applyBorder="1" applyAlignment="1">
      <alignment horizontal="left" vertical="center"/>
    </xf>
    <xf numFmtId="0" fontId="9" fillId="7" borderId="12" xfId="0" applyFont="1" applyFill="1" applyBorder="1" applyAlignment="1">
      <alignment horizontal="left" vertical="center"/>
    </xf>
    <xf numFmtId="0" fontId="12" fillId="7" borderId="13" xfId="0" applyFont="1" applyFill="1" applyBorder="1" applyAlignment="1">
      <alignment horizontal="left" vertical="center"/>
    </xf>
    <xf numFmtId="49" fontId="13" fillId="7" borderId="12" xfId="3" applyNumberFormat="1" applyFont="1" applyFill="1" applyBorder="1" applyAlignment="1">
      <alignment horizontal="left" vertical="center" wrapText="1"/>
    </xf>
    <xf numFmtId="0" fontId="9" fillId="8" borderId="12" xfId="0" applyFont="1" applyFill="1" applyBorder="1" applyAlignment="1">
      <alignment horizontal="left" vertical="center"/>
    </xf>
    <xf numFmtId="0" fontId="12" fillId="8" borderId="16" xfId="0" applyFont="1" applyFill="1" applyBorder="1" applyAlignment="1">
      <alignment horizontal="left" vertical="center" wrapText="1"/>
    </xf>
    <xf numFmtId="49" fontId="13" fillId="8" borderId="12" xfId="3" applyNumberFormat="1" applyFont="1" applyFill="1" applyBorder="1" applyAlignment="1">
      <alignment horizontal="left" vertical="center"/>
    </xf>
    <xf numFmtId="0" fontId="9" fillId="9" borderId="12" xfId="0" applyFont="1" applyFill="1" applyBorder="1" applyAlignment="1">
      <alignment horizontal="left" vertical="center"/>
    </xf>
    <xf numFmtId="0" fontId="9" fillId="9" borderId="16" xfId="0" applyFont="1" applyFill="1" applyBorder="1" applyAlignment="1">
      <alignment horizontal="left" vertical="center" wrapText="1"/>
    </xf>
    <xf numFmtId="49" fontId="13" fillId="9" borderId="12" xfId="3" applyNumberFormat="1" applyFont="1" applyFill="1" applyBorder="1" applyAlignment="1">
      <alignment horizontal="left" vertical="center"/>
    </xf>
    <xf numFmtId="0" fontId="9" fillId="9" borderId="12" xfId="0" applyFont="1" applyFill="1" applyBorder="1" applyAlignment="1">
      <alignment horizontal="left" vertical="center" wrapText="1"/>
    </xf>
    <xf numFmtId="0" fontId="12" fillId="8" borderId="4" xfId="0" applyFont="1" applyFill="1" applyBorder="1" applyAlignment="1">
      <alignment horizontal="left" vertical="center" wrapText="1"/>
    </xf>
    <xf numFmtId="49" fontId="13" fillId="8" borderId="1" xfId="3" applyNumberFormat="1" applyFont="1" applyFill="1" applyBorder="1" applyAlignment="1">
      <alignment horizontal="left" vertical="center"/>
    </xf>
    <xf numFmtId="0" fontId="15" fillId="9" borderId="16" xfId="0" applyFont="1" applyFill="1" applyBorder="1" applyAlignment="1">
      <alignment horizontal="left" vertical="center" wrapText="1"/>
    </xf>
    <xf numFmtId="0" fontId="6" fillId="0" borderId="7" xfId="0" applyFont="1" applyBorder="1" applyAlignment="1">
      <alignment horizontal="left" vertical="center"/>
    </xf>
    <xf numFmtId="49" fontId="13" fillId="9" borderId="12" xfId="3" applyNumberFormat="1" applyFont="1" applyFill="1" applyBorder="1" applyAlignment="1">
      <alignment horizontal="left" vertical="center" wrapText="1"/>
    </xf>
    <xf numFmtId="0" fontId="6" fillId="8" borderId="12" xfId="0" applyFont="1" applyFill="1" applyBorder="1" applyAlignment="1">
      <alignment horizontal="left" vertical="center"/>
    </xf>
    <xf numFmtId="49" fontId="13" fillId="9" borderId="1" xfId="3" applyNumberFormat="1" applyFont="1" applyFill="1" applyBorder="1" applyAlignment="1">
      <alignment horizontal="left" vertical="center"/>
    </xf>
    <xf numFmtId="0" fontId="6" fillId="0" borderId="0" xfId="0" applyFont="1" applyAlignment="1">
      <alignment horizontal="left" vertical="center" wrapText="1"/>
    </xf>
    <xf numFmtId="0" fontId="16" fillId="10" borderId="12" xfId="0" applyFont="1" applyFill="1" applyBorder="1" applyAlignment="1">
      <alignment horizontal="left" vertical="center"/>
    </xf>
    <xf numFmtId="0" fontId="9" fillId="10" borderId="16" xfId="0" applyFont="1" applyFill="1" applyBorder="1" applyAlignment="1">
      <alignment horizontal="left" vertical="center" wrapText="1"/>
    </xf>
    <xf numFmtId="49" fontId="13" fillId="10" borderId="12" xfId="3" applyNumberFormat="1" applyFont="1" applyFill="1" applyBorder="1" applyAlignment="1">
      <alignment horizontal="left" vertical="center"/>
    </xf>
    <xf numFmtId="0" fontId="16" fillId="12" borderId="12" xfId="0" applyFont="1" applyFill="1" applyBorder="1" applyAlignment="1">
      <alignment horizontal="left" vertical="center"/>
    </xf>
    <xf numFmtId="0" fontId="9" fillId="12" borderId="16" xfId="0" applyFont="1" applyFill="1" applyBorder="1" applyAlignment="1">
      <alignment horizontal="left" vertical="center" wrapText="1"/>
    </xf>
    <xf numFmtId="49" fontId="13" fillId="12" borderId="12" xfId="3" applyNumberFormat="1" applyFont="1" applyFill="1" applyBorder="1" applyAlignment="1">
      <alignment horizontal="left" vertical="center"/>
    </xf>
    <xf numFmtId="0" fontId="16" fillId="13" borderId="12" xfId="0" applyFont="1" applyFill="1" applyBorder="1" applyAlignment="1">
      <alignment horizontal="left" vertical="center"/>
    </xf>
    <xf numFmtId="0" fontId="9" fillId="13" borderId="16" xfId="0" applyFont="1" applyFill="1" applyBorder="1" applyAlignment="1">
      <alignment horizontal="left" vertical="center" wrapText="1"/>
    </xf>
    <xf numFmtId="49" fontId="13" fillId="13" borderId="12" xfId="3" applyNumberFormat="1" applyFont="1" applyFill="1" applyBorder="1" applyAlignment="1">
      <alignment horizontal="left" vertical="center"/>
    </xf>
    <xf numFmtId="0" fontId="16" fillId="14" borderId="12" xfId="0" applyFont="1" applyFill="1" applyBorder="1" applyAlignment="1">
      <alignment horizontal="left" vertical="center"/>
    </xf>
    <xf numFmtId="0" fontId="12" fillId="15" borderId="4" xfId="0" applyFont="1" applyFill="1" applyBorder="1" applyAlignment="1">
      <alignment horizontal="left" vertical="center" wrapText="1"/>
    </xf>
    <xf numFmtId="49" fontId="13" fillId="15" borderId="1" xfId="3" applyNumberFormat="1" applyFont="1" applyFill="1" applyBorder="1" applyAlignment="1">
      <alignment horizontal="left" vertical="center"/>
    </xf>
    <xf numFmtId="49" fontId="13" fillId="13" borderId="12" xfId="3" applyNumberFormat="1" applyFont="1" applyFill="1" applyBorder="1" applyAlignment="1">
      <alignment horizontal="left" vertical="center" wrapText="1"/>
    </xf>
    <xf numFmtId="0" fontId="9" fillId="16" borderId="16" xfId="0" applyFont="1" applyFill="1" applyBorder="1" applyAlignment="1">
      <alignment horizontal="left" vertical="center" wrapText="1"/>
    </xf>
    <xf numFmtId="49" fontId="13" fillId="16" borderId="12" xfId="3" applyNumberFormat="1" applyFont="1" applyFill="1" applyBorder="1" applyAlignment="1">
      <alignment horizontal="left" vertical="center"/>
    </xf>
    <xf numFmtId="0" fontId="16" fillId="15" borderId="12" xfId="0" applyFont="1" applyFill="1" applyBorder="1" applyAlignment="1">
      <alignment horizontal="left" vertical="center"/>
    </xf>
    <xf numFmtId="0" fontId="16" fillId="13" borderId="12" xfId="0" applyFont="1" applyFill="1" applyBorder="1" applyAlignment="1">
      <alignment horizontal="left" vertical="center" wrapText="1"/>
    </xf>
    <xf numFmtId="0" fontId="16" fillId="16" borderId="12" xfId="0" applyFont="1" applyFill="1" applyBorder="1" applyAlignment="1">
      <alignment horizontal="left" vertical="center"/>
    </xf>
    <xf numFmtId="49" fontId="13" fillId="16" borderId="12" xfId="3" applyNumberFormat="1" applyFont="1" applyFill="1" applyBorder="1" applyAlignment="1">
      <alignment horizontal="left" vertical="center" wrapText="1"/>
    </xf>
    <xf numFmtId="0" fontId="16" fillId="16" borderId="12" xfId="0" applyFont="1" applyFill="1" applyBorder="1" applyAlignment="1">
      <alignment horizontal="left" vertical="center" wrapText="1"/>
    </xf>
    <xf numFmtId="0" fontId="6" fillId="14" borderId="12" xfId="0" applyFont="1" applyFill="1" applyBorder="1" applyAlignment="1">
      <alignment horizontal="left" vertical="center"/>
    </xf>
    <xf numFmtId="0" fontId="12" fillId="14" borderId="13" xfId="0" applyFont="1" applyFill="1" applyBorder="1" applyAlignment="1">
      <alignment horizontal="left" vertical="center" wrapText="1"/>
    </xf>
    <xf numFmtId="0" fontId="9" fillId="14" borderId="13" xfId="0" applyFont="1" applyFill="1" applyBorder="1" applyAlignment="1">
      <alignment horizontal="left" vertical="center" wrapText="1"/>
    </xf>
    <xf numFmtId="0" fontId="9" fillId="14" borderId="16" xfId="0" applyFont="1" applyFill="1" applyBorder="1" applyAlignment="1">
      <alignment vertical="center" wrapText="1"/>
    </xf>
    <xf numFmtId="0" fontId="6" fillId="14" borderId="14" xfId="0" applyFont="1" applyFill="1" applyBorder="1" applyAlignment="1">
      <alignment vertical="center" wrapText="1"/>
    </xf>
    <xf numFmtId="0" fontId="6" fillId="14" borderId="13" xfId="0" applyFont="1" applyFill="1" applyBorder="1" applyAlignment="1">
      <alignment vertical="center" wrapText="1"/>
    </xf>
    <xf numFmtId="0" fontId="12" fillId="20" borderId="16" xfId="0" applyFont="1" applyFill="1" applyBorder="1" applyAlignment="1">
      <alignment horizontal="left" vertical="center" wrapText="1"/>
    </xf>
    <xf numFmtId="49" fontId="13" fillId="20" borderId="12" xfId="3" applyNumberFormat="1" applyFont="1" applyFill="1" applyBorder="1" applyAlignment="1">
      <alignment horizontal="left" vertical="center"/>
    </xf>
    <xf numFmtId="0" fontId="9" fillId="21" borderId="16" xfId="0" applyFont="1" applyFill="1" applyBorder="1" applyAlignment="1">
      <alignment horizontal="left" vertical="center" wrapText="1"/>
    </xf>
    <xf numFmtId="49" fontId="13" fillId="21" borderId="12" xfId="3" applyNumberFormat="1" applyFont="1" applyFill="1" applyBorder="1" applyAlignment="1">
      <alignment horizontal="left" vertical="center"/>
    </xf>
    <xf numFmtId="0" fontId="16" fillId="20" borderId="12" xfId="0" applyFont="1" applyFill="1" applyBorder="1" applyAlignment="1">
      <alignment horizontal="left" vertical="center"/>
    </xf>
    <xf numFmtId="0" fontId="19" fillId="0" borderId="0" xfId="8" applyFont="1" applyAlignment="1">
      <alignment horizontal="left" vertical="top" wrapText="1"/>
    </xf>
    <xf numFmtId="0" fontId="9" fillId="20" borderId="16" xfId="0" applyFont="1" applyFill="1" applyBorder="1" applyAlignment="1">
      <alignment horizontal="left" vertical="center" wrapText="1"/>
    </xf>
    <xf numFmtId="49" fontId="13" fillId="20" borderId="12" xfId="3" applyNumberFormat="1" applyFont="1" applyFill="1" applyBorder="1" applyAlignment="1">
      <alignment horizontal="left" vertical="center" wrapText="1"/>
    </xf>
    <xf numFmtId="0" fontId="16" fillId="20" borderId="12" xfId="0" applyFont="1" applyFill="1" applyBorder="1" applyAlignment="1">
      <alignment horizontal="left" vertical="center" wrapText="1"/>
    </xf>
    <xf numFmtId="0" fontId="12" fillId="14" borderId="12" xfId="0" applyFont="1" applyFill="1" applyBorder="1" applyAlignment="1">
      <alignment horizontal="left" vertical="center" wrapText="1"/>
    </xf>
    <xf numFmtId="49" fontId="13" fillId="14" borderId="13" xfId="3" applyNumberFormat="1" applyFont="1" applyFill="1" applyBorder="1" applyAlignment="1">
      <alignment horizontal="left" vertical="center"/>
    </xf>
    <xf numFmtId="0" fontId="12" fillId="11" borderId="1" xfId="0" applyFont="1" applyFill="1" applyBorder="1" applyAlignment="1">
      <alignment horizontal="left" vertical="center" wrapText="1"/>
    </xf>
    <xf numFmtId="49" fontId="13" fillId="11" borderId="1" xfId="3" applyNumberFormat="1" applyFont="1" applyFill="1" applyBorder="1" applyAlignment="1">
      <alignment horizontal="left" vertical="center" wrapText="1"/>
    </xf>
    <xf numFmtId="0" fontId="16" fillId="5" borderId="12" xfId="0" applyFont="1" applyFill="1" applyBorder="1" applyAlignment="1">
      <alignment horizontal="left" vertical="center" wrapText="1"/>
    </xf>
    <xf numFmtId="0" fontId="9" fillId="5" borderId="12" xfId="0" applyFont="1" applyFill="1" applyBorder="1" applyAlignment="1">
      <alignment horizontal="left" vertical="center" wrapText="1"/>
    </xf>
    <xf numFmtId="49" fontId="13" fillId="5" borderId="13" xfId="3" applyNumberFormat="1" applyFont="1" applyFill="1" applyBorder="1" applyAlignment="1">
      <alignment horizontal="left" vertical="center" wrapText="1"/>
    </xf>
    <xf numFmtId="0" fontId="16" fillId="12" borderId="12" xfId="0" applyFont="1" applyFill="1" applyBorder="1" applyAlignment="1">
      <alignment horizontal="left" vertical="center" wrapText="1"/>
    </xf>
    <xf numFmtId="0" fontId="9" fillId="12" borderId="12" xfId="0" applyFont="1" applyFill="1" applyBorder="1" applyAlignment="1">
      <alignment horizontal="left" vertical="center" wrapText="1"/>
    </xf>
    <xf numFmtId="49" fontId="13" fillId="12" borderId="13" xfId="3" applyNumberFormat="1" applyFont="1" applyFill="1" applyBorder="1" applyAlignment="1">
      <alignment horizontal="left" vertical="center" wrapText="1"/>
    </xf>
    <xf numFmtId="0" fontId="16" fillId="11" borderId="12" xfId="0" applyFont="1" applyFill="1" applyBorder="1" applyAlignment="1">
      <alignment horizontal="left" vertical="center" wrapText="1"/>
    </xf>
    <xf numFmtId="0" fontId="12" fillId="11" borderId="12" xfId="0" applyFont="1" applyFill="1" applyBorder="1" applyAlignment="1">
      <alignment horizontal="left" vertical="center" wrapText="1"/>
    </xf>
    <xf numFmtId="49" fontId="13" fillId="11" borderId="12" xfId="3" applyNumberFormat="1" applyFont="1" applyFill="1" applyBorder="1" applyAlignment="1">
      <alignment horizontal="left" vertical="center" wrapText="1"/>
    </xf>
    <xf numFmtId="0" fontId="16" fillId="14" borderId="12" xfId="0" applyFont="1" applyFill="1" applyBorder="1" applyAlignment="1">
      <alignment horizontal="left" vertical="center" wrapText="1"/>
    </xf>
    <xf numFmtId="0" fontId="12" fillId="7" borderId="1" xfId="0" applyFont="1" applyFill="1" applyBorder="1" applyAlignment="1">
      <alignment horizontal="left" vertical="center" wrapText="1"/>
    </xf>
    <xf numFmtId="49" fontId="13" fillId="7" borderId="2" xfId="3" applyNumberFormat="1" applyFont="1" applyFill="1" applyBorder="1" applyAlignment="1">
      <alignment horizontal="left" vertical="center"/>
    </xf>
    <xf numFmtId="0" fontId="9" fillId="8" borderId="12" xfId="0" applyFont="1" applyFill="1" applyBorder="1" applyAlignment="1">
      <alignment horizontal="left" vertical="center" wrapText="1"/>
    </xf>
    <xf numFmtId="49" fontId="13" fillId="8" borderId="13" xfId="3" applyNumberFormat="1" applyFont="1" applyFill="1" applyBorder="1" applyAlignment="1">
      <alignment horizontal="left" vertical="center" wrapText="1"/>
    </xf>
    <xf numFmtId="0" fontId="16" fillId="17" borderId="12" xfId="0" applyFont="1" applyFill="1" applyBorder="1" applyAlignment="1">
      <alignment horizontal="left" vertical="center"/>
    </xf>
    <xf numFmtId="0" fontId="16" fillId="7" borderId="12" xfId="0" applyFont="1" applyFill="1" applyBorder="1" applyAlignment="1">
      <alignment horizontal="left" vertical="center"/>
    </xf>
    <xf numFmtId="0" fontId="16" fillId="8" borderId="12" xfId="0" applyFont="1" applyFill="1" applyBorder="1" applyAlignment="1">
      <alignment horizontal="left" vertical="center" wrapText="1"/>
    </xf>
    <xf numFmtId="14" fontId="6" fillId="0" borderId="17" xfId="0" applyNumberFormat="1" applyFont="1" applyBorder="1" applyAlignment="1">
      <alignment horizontal="left" vertical="center" wrapText="1"/>
    </xf>
    <xf numFmtId="0" fontId="12" fillId="7" borderId="12" xfId="0" applyFont="1" applyFill="1" applyBorder="1" applyAlignment="1">
      <alignment horizontal="left" vertical="center" wrapText="1"/>
    </xf>
    <xf numFmtId="49" fontId="13" fillId="7" borderId="13" xfId="3" applyNumberFormat="1" applyFont="1" applyFill="1" applyBorder="1" applyAlignment="1">
      <alignment horizontal="left" vertical="center"/>
    </xf>
    <xf numFmtId="0" fontId="9" fillId="19" borderId="12" xfId="0" applyFont="1" applyFill="1" applyBorder="1" applyAlignment="1">
      <alignment horizontal="left" vertical="center" wrapText="1"/>
    </xf>
    <xf numFmtId="49" fontId="13" fillId="19" borderId="13" xfId="3" applyNumberFormat="1" applyFont="1" applyFill="1" applyBorder="1" applyAlignment="1">
      <alignment horizontal="left" vertical="center" wrapText="1"/>
    </xf>
    <xf numFmtId="0" fontId="16" fillId="18" borderId="12" xfId="0" applyFont="1" applyFill="1" applyBorder="1" applyAlignment="1">
      <alignment horizontal="left" vertical="center" wrapText="1"/>
    </xf>
    <xf numFmtId="0" fontId="12" fillId="18" borderId="12" xfId="0" applyFont="1" applyFill="1" applyBorder="1" applyAlignment="1">
      <alignment horizontal="left" vertical="center" wrapText="1"/>
    </xf>
    <xf numFmtId="49" fontId="13" fillId="18" borderId="13" xfId="3" applyNumberFormat="1" applyFont="1" applyFill="1" applyBorder="1" applyAlignment="1">
      <alignment horizontal="left" vertical="center" wrapText="1"/>
    </xf>
    <xf numFmtId="0" fontId="16" fillId="19" borderId="12" xfId="0" applyFont="1" applyFill="1" applyBorder="1" applyAlignment="1">
      <alignment horizontal="left" vertical="center" wrapText="1"/>
    </xf>
    <xf numFmtId="0" fontId="6" fillId="0" borderId="0" xfId="0" applyFont="1" applyAlignment="1">
      <alignment horizontal="left"/>
    </xf>
    <xf numFmtId="10" fontId="16" fillId="0" borderId="12" xfId="1" applyNumberFormat="1" applyFont="1" applyBorder="1" applyAlignment="1">
      <alignment horizontal="left"/>
    </xf>
    <xf numFmtId="0" fontId="12" fillId="4" borderId="13" xfId="0" applyFont="1" applyFill="1" applyBorder="1" applyAlignment="1">
      <alignment horizontal="left" vertical="center" wrapText="1"/>
    </xf>
    <xf numFmtId="2" fontId="9" fillId="3" borderId="13" xfId="0" applyNumberFormat="1" applyFont="1" applyFill="1" applyBorder="1" applyAlignment="1">
      <alignment horizontal="right" vertical="center" wrapText="1"/>
    </xf>
    <xf numFmtId="2" fontId="9" fillId="4" borderId="13" xfId="0" applyNumberFormat="1" applyFont="1" applyFill="1" applyBorder="1" applyAlignment="1">
      <alignment horizontal="right" vertical="center" wrapText="1"/>
    </xf>
    <xf numFmtId="2" fontId="15" fillId="6" borderId="12" xfId="3" applyNumberFormat="1" applyFont="1" applyFill="1" applyBorder="1" applyAlignment="1">
      <alignment horizontal="right" vertical="center" wrapText="1"/>
    </xf>
    <xf numFmtId="2" fontId="15" fillId="6" borderId="2" xfId="3" applyNumberFormat="1" applyFont="1" applyFill="1" applyBorder="1" applyAlignment="1">
      <alignment horizontal="right" vertical="center"/>
    </xf>
    <xf numFmtId="2" fontId="15" fillId="6" borderId="13" xfId="3" applyNumberFormat="1" applyFont="1" applyFill="1" applyBorder="1" applyAlignment="1">
      <alignment horizontal="right" vertical="center"/>
    </xf>
    <xf numFmtId="2" fontId="15" fillId="6" borderId="13" xfId="3" applyNumberFormat="1" applyFont="1" applyFill="1" applyBorder="1" applyAlignment="1">
      <alignment horizontal="right" vertical="center" wrapText="1"/>
    </xf>
    <xf numFmtId="2" fontId="15" fillId="6" borderId="12" xfId="3" applyNumberFormat="1" applyFont="1" applyFill="1" applyBorder="1" applyAlignment="1">
      <alignment horizontal="right" vertical="center"/>
    </xf>
    <xf numFmtId="2" fontId="15" fillId="4" borderId="13" xfId="3" applyNumberFormat="1" applyFont="1" applyFill="1" applyBorder="1" applyAlignment="1">
      <alignment horizontal="right" vertical="center"/>
    </xf>
    <xf numFmtId="164" fontId="6" fillId="0" borderId="0" xfId="0" applyNumberFormat="1" applyFont="1" applyAlignment="1">
      <alignment horizontal="right" vertical="center"/>
    </xf>
    <xf numFmtId="164" fontId="13" fillId="0" borderId="0" xfId="3" applyNumberFormat="1" applyFont="1" applyAlignment="1">
      <alignment horizontal="right" vertical="center"/>
    </xf>
    <xf numFmtId="0" fontId="6" fillId="0" borderId="0" xfId="0" applyFont="1" applyAlignment="1">
      <alignment horizontal="right"/>
    </xf>
    <xf numFmtId="0" fontId="13" fillId="7" borderId="11" xfId="0" applyFont="1" applyFill="1" applyBorder="1" applyAlignment="1">
      <alignment horizontal="left" vertical="center" wrapText="1"/>
    </xf>
    <xf numFmtId="0" fontId="6" fillId="7" borderId="10" xfId="0" applyFont="1" applyFill="1" applyBorder="1" applyAlignment="1">
      <alignment horizontal="left" vertical="center"/>
    </xf>
    <xf numFmtId="0" fontId="6" fillId="7" borderId="9" xfId="0" applyFont="1" applyFill="1" applyBorder="1" applyAlignment="1">
      <alignment horizontal="left" vertical="center"/>
    </xf>
    <xf numFmtId="2" fontId="15" fillId="7" borderId="13" xfId="3" applyNumberFormat="1" applyFont="1" applyFill="1" applyBorder="1" applyAlignment="1">
      <alignment horizontal="right" vertical="center" wrapText="1"/>
    </xf>
    <xf numFmtId="2" fontId="15" fillId="8" borderId="13" xfId="3" applyNumberFormat="1" applyFont="1" applyFill="1" applyBorder="1" applyAlignment="1">
      <alignment horizontal="right" vertical="center"/>
    </xf>
    <xf numFmtId="2" fontId="15" fillId="8" borderId="12" xfId="3" applyNumberFormat="1" applyFont="1" applyFill="1" applyBorder="1" applyAlignment="1">
      <alignment horizontal="right" vertical="center"/>
    </xf>
    <xf numFmtId="2" fontId="15" fillId="9" borderId="12" xfId="3" applyNumberFormat="1" applyFont="1" applyFill="1" applyBorder="1" applyAlignment="1">
      <alignment horizontal="right" vertical="center"/>
    </xf>
    <xf numFmtId="2" fontId="15" fillId="9" borderId="13" xfId="3" applyNumberFormat="1" applyFont="1" applyFill="1" applyBorder="1" applyAlignment="1">
      <alignment horizontal="right" vertical="center"/>
    </xf>
    <xf numFmtId="2" fontId="15" fillId="9" borderId="13" xfId="3" applyNumberFormat="1" applyFont="1" applyFill="1" applyBorder="1" applyAlignment="1">
      <alignment horizontal="right" vertical="center" wrapText="1"/>
    </xf>
    <xf numFmtId="0" fontId="6" fillId="0" borderId="17" xfId="0" applyFont="1" applyBorder="1" applyAlignment="1">
      <alignment vertical="center" wrapText="1"/>
    </xf>
    <xf numFmtId="2" fontId="17" fillId="12" borderId="13" xfId="3" applyNumberFormat="1" applyFont="1" applyFill="1" applyBorder="1" applyAlignment="1">
      <alignment horizontal="right" vertical="center"/>
    </xf>
    <xf numFmtId="2" fontId="17" fillId="10" borderId="13" xfId="3" applyNumberFormat="1" applyFont="1" applyFill="1" applyBorder="1" applyAlignment="1">
      <alignment horizontal="right" vertical="center"/>
    </xf>
    <xf numFmtId="2" fontId="17" fillId="10" borderId="14" xfId="3" applyNumberFormat="1" applyFont="1" applyFill="1" applyBorder="1" applyAlignment="1">
      <alignment horizontal="right" vertical="center"/>
    </xf>
    <xf numFmtId="0" fontId="16" fillId="11" borderId="5" xfId="0" applyFont="1" applyFill="1" applyBorder="1" applyAlignment="1">
      <alignment horizontal="left" vertical="center"/>
    </xf>
    <xf numFmtId="0" fontId="9" fillId="11" borderId="7" xfId="0" applyFont="1" applyFill="1" applyBorder="1" applyAlignment="1">
      <alignment horizontal="left" vertical="center" wrapText="1"/>
    </xf>
    <xf numFmtId="49" fontId="13" fillId="11" borderId="5" xfId="3" applyNumberFormat="1" applyFont="1" applyFill="1" applyBorder="1" applyAlignment="1">
      <alignment horizontal="left" vertical="center"/>
    </xf>
    <xf numFmtId="2" fontId="17" fillId="11" borderId="6" xfId="3" applyNumberFormat="1" applyFont="1" applyFill="1" applyBorder="1" applyAlignment="1">
      <alignment horizontal="right" vertical="center"/>
    </xf>
    <xf numFmtId="2" fontId="9" fillId="14" borderId="12" xfId="0" applyNumberFormat="1" applyFont="1" applyFill="1" applyBorder="1" applyAlignment="1">
      <alignment horizontal="right" vertical="center" wrapText="1"/>
    </xf>
    <xf numFmtId="2" fontId="17" fillId="15" borderId="2" xfId="3" applyNumberFormat="1" applyFont="1" applyFill="1" applyBorder="1" applyAlignment="1">
      <alignment horizontal="right" vertical="center"/>
    </xf>
    <xf numFmtId="2" fontId="17" fillId="13" borderId="12" xfId="3" applyNumberFormat="1" applyFont="1" applyFill="1" applyBorder="1" applyAlignment="1">
      <alignment horizontal="right" vertical="center" wrapText="1"/>
    </xf>
    <xf numFmtId="2" fontId="17" fillId="16" borderId="12" xfId="3" applyNumberFormat="1" applyFont="1" applyFill="1" applyBorder="1" applyAlignment="1">
      <alignment horizontal="right" vertical="center"/>
    </xf>
    <xf numFmtId="2" fontId="17" fillId="16" borderId="13" xfId="3" applyNumberFormat="1" applyFont="1" applyFill="1" applyBorder="1" applyAlignment="1">
      <alignment horizontal="right" vertical="center" wrapText="1"/>
    </xf>
    <xf numFmtId="2" fontId="17" fillId="16" borderId="13" xfId="3" applyNumberFormat="1" applyFont="1" applyFill="1" applyBorder="1" applyAlignment="1">
      <alignment horizontal="right" vertical="center"/>
    </xf>
    <xf numFmtId="2" fontId="17" fillId="20" borderId="13" xfId="3" applyNumberFormat="1" applyFont="1" applyFill="1" applyBorder="1" applyAlignment="1">
      <alignment horizontal="right" vertical="center"/>
    </xf>
    <xf numFmtId="2" fontId="17" fillId="21" borderId="13" xfId="3" applyNumberFormat="1" applyFont="1" applyFill="1" applyBorder="1" applyAlignment="1">
      <alignment horizontal="right" vertical="center"/>
    </xf>
    <xf numFmtId="2" fontId="17" fillId="12" borderId="13" xfId="3" applyNumberFormat="1" applyFont="1" applyFill="1" applyBorder="1" applyAlignment="1">
      <alignment horizontal="right" vertical="center" wrapText="1"/>
    </xf>
    <xf numFmtId="2" fontId="17" fillId="11" borderId="12" xfId="3" applyNumberFormat="1" applyFont="1" applyFill="1" applyBorder="1" applyAlignment="1">
      <alignment horizontal="right" vertical="center" wrapText="1"/>
    </xf>
    <xf numFmtId="2" fontId="17" fillId="5" borderId="13" xfId="3" applyNumberFormat="1" applyFont="1" applyFill="1" applyBorder="1" applyAlignment="1">
      <alignment horizontal="right" vertical="center" wrapText="1"/>
    </xf>
    <xf numFmtId="2" fontId="17" fillId="11" borderId="1" xfId="3" applyNumberFormat="1" applyFont="1" applyFill="1" applyBorder="1" applyAlignment="1">
      <alignment horizontal="right" vertical="center" wrapText="1"/>
    </xf>
    <xf numFmtId="2" fontId="17" fillId="7" borderId="2" xfId="3" applyNumberFormat="1" applyFont="1" applyFill="1" applyBorder="1" applyAlignment="1">
      <alignment horizontal="right" vertical="center"/>
    </xf>
    <xf numFmtId="2" fontId="17" fillId="8" borderId="13" xfId="3" applyNumberFormat="1" applyFont="1" applyFill="1" applyBorder="1" applyAlignment="1">
      <alignment horizontal="right" vertical="center" wrapText="1"/>
    </xf>
    <xf numFmtId="0" fontId="6" fillId="0" borderId="15" xfId="0" applyFont="1" applyBorder="1" applyAlignment="1">
      <alignment vertical="center" wrapText="1"/>
    </xf>
    <xf numFmtId="2" fontId="17" fillId="7" borderId="13" xfId="3" applyNumberFormat="1" applyFont="1" applyFill="1" applyBorder="1" applyAlignment="1">
      <alignment horizontal="right" vertical="center"/>
    </xf>
    <xf numFmtId="2" fontId="17" fillId="18" borderId="13" xfId="3" applyNumberFormat="1" applyFont="1" applyFill="1" applyBorder="1" applyAlignment="1">
      <alignment horizontal="right" vertical="center" wrapText="1"/>
    </xf>
    <xf numFmtId="2" fontId="17" fillId="19" borderId="13" xfId="3" applyNumberFormat="1" applyFont="1" applyFill="1" applyBorder="1" applyAlignment="1">
      <alignment horizontal="right" vertical="center" wrapText="1"/>
    </xf>
    <xf numFmtId="2" fontId="17" fillId="14" borderId="12" xfId="3" applyNumberFormat="1" applyFont="1" applyFill="1" applyBorder="1" applyAlignment="1">
      <alignment horizontal="right" vertical="center"/>
    </xf>
    <xf numFmtId="2" fontId="17" fillId="13" borderId="12" xfId="3" applyNumberFormat="1" applyFont="1" applyFill="1" applyBorder="1" applyAlignment="1">
      <alignment horizontal="right" vertical="center"/>
    </xf>
    <xf numFmtId="2" fontId="6" fillId="0" borderId="5" xfId="0" applyNumberFormat="1" applyFont="1" applyFill="1" applyBorder="1" applyAlignment="1">
      <alignment horizontal="right" vertical="center" wrapText="1"/>
    </xf>
    <xf numFmtId="2" fontId="6" fillId="0" borderId="15" xfId="0" applyNumberFormat="1" applyFont="1" applyFill="1" applyBorder="1" applyAlignment="1">
      <alignment horizontal="right" vertical="center" wrapText="1"/>
    </xf>
    <xf numFmtId="0" fontId="6" fillId="0" borderId="21" xfId="0" applyFont="1" applyFill="1" applyBorder="1" applyAlignment="1">
      <alignment horizontal="left" vertical="center" wrapText="1"/>
    </xf>
    <xf numFmtId="2" fontId="6" fillId="0" borderId="17" xfId="0" applyNumberFormat="1" applyFont="1" applyFill="1" applyBorder="1" applyAlignment="1">
      <alignment horizontal="right" vertical="center" wrapText="1"/>
    </xf>
    <xf numFmtId="2" fontId="6" fillId="0" borderId="24" xfId="0" applyNumberFormat="1" applyFont="1" applyFill="1" applyBorder="1" applyAlignment="1">
      <alignment horizontal="right" vertical="center" wrapText="1"/>
    </xf>
    <xf numFmtId="2" fontId="6" fillId="0" borderId="18" xfId="0" applyNumberFormat="1" applyFont="1" applyFill="1" applyBorder="1" applyAlignment="1">
      <alignment horizontal="right" vertical="center" wrapText="1"/>
    </xf>
    <xf numFmtId="2" fontId="6" fillId="0" borderId="21" xfId="0" applyNumberFormat="1" applyFont="1" applyFill="1" applyBorder="1" applyAlignment="1">
      <alignment horizontal="right" vertical="center" wrapText="1"/>
    </xf>
    <xf numFmtId="2" fontId="6" fillId="0" borderId="22" xfId="0" applyNumberFormat="1" applyFont="1" applyFill="1" applyBorder="1" applyAlignment="1">
      <alignment horizontal="right" vertical="center" wrapText="1"/>
    </xf>
    <xf numFmtId="2" fontId="6" fillId="0" borderId="23" xfId="0" applyNumberFormat="1" applyFont="1" applyFill="1" applyBorder="1" applyAlignment="1">
      <alignment horizontal="right" vertical="center" wrapText="1"/>
    </xf>
    <xf numFmtId="2" fontId="6" fillId="0" borderId="38" xfId="0" applyNumberFormat="1" applyFont="1" applyFill="1" applyBorder="1" applyAlignment="1">
      <alignment horizontal="right" vertical="center"/>
    </xf>
    <xf numFmtId="0" fontId="6" fillId="0" borderId="30" xfId="0" applyFont="1" applyFill="1" applyBorder="1" applyAlignment="1">
      <alignment horizontal="right" vertical="center"/>
    </xf>
    <xf numFmtId="2" fontId="13" fillId="0" borderId="38" xfId="3" applyNumberFormat="1" applyFont="1" applyFill="1" applyBorder="1" applyAlignment="1">
      <alignment horizontal="right" vertical="center"/>
    </xf>
    <xf numFmtId="1" fontId="13" fillId="0" borderId="29" xfId="3" applyNumberFormat="1" applyFont="1" applyFill="1" applyBorder="1" applyAlignment="1">
      <alignment vertical="top"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right" vertical="center" wrapText="1"/>
    </xf>
    <xf numFmtId="0" fontId="6" fillId="0" borderId="30" xfId="0" applyFont="1" applyFill="1" applyBorder="1" applyAlignment="1">
      <alignment vertical="center" wrapText="1"/>
    </xf>
    <xf numFmtId="2" fontId="13" fillId="0" borderId="21" xfId="3" applyNumberFormat="1" applyFont="1" applyFill="1" applyBorder="1" applyAlignment="1">
      <alignment horizontal="right" vertical="center"/>
    </xf>
    <xf numFmtId="0" fontId="6" fillId="0" borderId="56" xfId="0" applyFont="1" applyFill="1" applyBorder="1" applyAlignment="1">
      <alignment vertical="center" wrapText="1"/>
    </xf>
    <xf numFmtId="0" fontId="6" fillId="0" borderId="27" xfId="0" applyFont="1" applyFill="1" applyBorder="1" applyAlignment="1">
      <alignment horizontal="right" vertical="center"/>
    </xf>
    <xf numFmtId="0" fontId="6" fillId="0" borderId="35" xfId="0" applyFont="1" applyFill="1" applyBorder="1" applyAlignment="1">
      <alignment horizontal="right" vertical="center"/>
    </xf>
    <xf numFmtId="2" fontId="13" fillId="0" borderId="20" xfId="3" applyNumberFormat="1" applyFont="1" applyFill="1" applyBorder="1" applyAlignment="1">
      <alignment horizontal="right" vertical="center"/>
    </xf>
    <xf numFmtId="2" fontId="13" fillId="0" borderId="22" xfId="3" applyNumberFormat="1" applyFont="1" applyFill="1" applyBorder="1" applyAlignment="1">
      <alignment horizontal="right" vertical="center"/>
    </xf>
    <xf numFmtId="0" fontId="6" fillId="0" borderId="29" xfId="0" applyFont="1" applyFill="1" applyBorder="1" applyAlignment="1">
      <alignment vertical="center" wrapText="1"/>
    </xf>
    <xf numFmtId="2" fontId="13" fillId="0" borderId="18" xfId="3" applyNumberFormat="1" applyFont="1" applyFill="1" applyBorder="1" applyAlignment="1">
      <alignment horizontal="right" vertical="center"/>
    </xf>
    <xf numFmtId="1" fontId="20" fillId="0" borderId="57" xfId="3" applyNumberFormat="1" applyFont="1" applyFill="1" applyBorder="1" applyAlignment="1">
      <alignment horizontal="left" vertical="center" wrapText="1"/>
    </xf>
    <xf numFmtId="1" fontId="20" fillId="0" borderId="54" xfId="3" applyNumberFormat="1" applyFont="1" applyFill="1" applyBorder="1" applyAlignment="1">
      <alignment vertical="center" wrapText="1"/>
    </xf>
    <xf numFmtId="1" fontId="20" fillId="0" borderId="54" xfId="3" applyNumberFormat="1" applyFont="1" applyFill="1" applyBorder="1" applyAlignment="1">
      <alignment horizontal="left" vertical="center" wrapText="1"/>
    </xf>
    <xf numFmtId="1" fontId="20" fillId="0" borderId="58" xfId="3" applyNumberFormat="1" applyFont="1" applyFill="1" applyBorder="1" applyAlignment="1">
      <alignment vertical="center" wrapText="1"/>
    </xf>
    <xf numFmtId="1" fontId="20" fillId="0" borderId="67" xfId="3" applyNumberFormat="1" applyFont="1" applyFill="1" applyBorder="1" applyAlignment="1">
      <alignment vertical="center" wrapText="1"/>
    </xf>
    <xf numFmtId="0" fontId="6" fillId="0" borderId="67"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68"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6" fillId="0" borderId="20" xfId="0" applyFont="1" applyFill="1" applyBorder="1" applyAlignment="1">
      <alignment horizontal="left" vertical="center" wrapText="1"/>
    </xf>
    <xf numFmtId="2" fontId="13" fillId="0" borderId="40" xfId="3" applyNumberFormat="1" applyFont="1" applyFill="1" applyBorder="1" applyAlignment="1">
      <alignment horizontal="right" vertical="center"/>
    </xf>
    <xf numFmtId="2" fontId="13" fillId="0" borderId="39" xfId="3" applyNumberFormat="1" applyFont="1" applyFill="1" applyBorder="1" applyAlignment="1">
      <alignment horizontal="right" vertical="center"/>
    </xf>
    <xf numFmtId="0" fontId="6" fillId="0" borderId="50" xfId="0" applyFont="1" applyFill="1" applyBorder="1" applyAlignment="1">
      <alignment horizontal="left" vertical="center" wrapText="1"/>
    </xf>
    <xf numFmtId="49" fontId="13" fillId="0" borderId="32" xfId="3" applyNumberFormat="1" applyFont="1" applyFill="1" applyBorder="1" applyAlignment="1">
      <alignment horizontal="left" vertical="center"/>
    </xf>
    <xf numFmtId="2" fontId="6" fillId="0" borderId="32" xfId="0" applyNumberFormat="1" applyFont="1" applyFill="1" applyBorder="1" applyAlignment="1">
      <alignment horizontal="right" vertical="center"/>
    </xf>
    <xf numFmtId="0" fontId="6" fillId="0" borderId="16" xfId="0" applyFont="1" applyFill="1" applyBorder="1" applyAlignment="1">
      <alignment horizontal="left" vertical="center" wrapText="1"/>
    </xf>
    <xf numFmtId="49" fontId="13" fillId="0" borderId="12" xfId="3" applyNumberFormat="1" applyFont="1" applyFill="1" applyBorder="1" applyAlignment="1">
      <alignment horizontal="left" vertical="center"/>
    </xf>
    <xf numFmtId="2" fontId="13" fillId="0" borderId="14" xfId="3" applyNumberFormat="1" applyFont="1" applyFill="1" applyBorder="1" applyAlignment="1">
      <alignment horizontal="right" vertical="center"/>
    </xf>
    <xf numFmtId="2" fontId="6" fillId="0" borderId="16" xfId="0" applyNumberFormat="1" applyFont="1" applyFill="1" applyBorder="1" applyAlignment="1">
      <alignment horizontal="right" vertical="center"/>
    </xf>
    <xf numFmtId="0" fontId="6" fillId="0" borderId="51" xfId="0" applyFont="1" applyFill="1" applyBorder="1" applyAlignment="1">
      <alignment horizontal="left" vertical="center" wrapText="1"/>
    </xf>
    <xf numFmtId="0" fontId="6" fillId="0" borderId="52" xfId="0" applyFont="1" applyFill="1" applyBorder="1" applyAlignment="1">
      <alignment horizontal="right" vertical="center"/>
    </xf>
    <xf numFmtId="0" fontId="6" fillId="0" borderId="52" xfId="0" applyFont="1" applyFill="1" applyBorder="1" applyAlignment="1">
      <alignment horizontal="right" vertical="center" wrapText="1"/>
    </xf>
    <xf numFmtId="1" fontId="20" fillId="0" borderId="26" xfId="3" applyNumberFormat="1" applyFont="1" applyFill="1" applyBorder="1" applyAlignment="1">
      <alignment horizontal="left" vertical="center" wrapText="1"/>
    </xf>
    <xf numFmtId="0" fontId="6" fillId="0" borderId="27" xfId="0" applyFont="1" applyFill="1" applyBorder="1" applyAlignment="1">
      <alignment vertical="center" wrapText="1"/>
    </xf>
    <xf numFmtId="1" fontId="20" fillId="0" borderId="29" xfId="3" applyNumberFormat="1" applyFont="1" applyFill="1" applyBorder="1" applyAlignment="1">
      <alignment horizontal="left" vertical="center" wrapText="1"/>
    </xf>
    <xf numFmtId="2" fontId="13" fillId="0" borderId="32" xfId="3" applyNumberFormat="1" applyFont="1" applyFill="1" applyBorder="1" applyAlignment="1">
      <alignment horizontal="right" vertical="center"/>
    </xf>
    <xf numFmtId="2" fontId="13" fillId="0" borderId="2" xfId="3" applyNumberFormat="1" applyFont="1" applyFill="1" applyBorder="1" applyAlignment="1">
      <alignment horizontal="right" vertical="center"/>
    </xf>
    <xf numFmtId="2" fontId="6" fillId="0" borderId="2" xfId="0" applyNumberFormat="1" applyFont="1" applyFill="1" applyBorder="1" applyAlignment="1">
      <alignment horizontal="right" vertical="center"/>
    </xf>
    <xf numFmtId="2" fontId="6" fillId="0" borderId="21" xfId="0" applyNumberFormat="1" applyFont="1" applyFill="1" applyBorder="1" applyAlignment="1">
      <alignment horizontal="right" vertical="center"/>
    </xf>
    <xf numFmtId="2" fontId="6" fillId="0" borderId="6" xfId="0" applyNumberFormat="1" applyFont="1" applyFill="1" applyBorder="1" applyAlignment="1">
      <alignment horizontal="right" vertical="center"/>
    </xf>
    <xf numFmtId="0" fontId="6" fillId="0" borderId="57" xfId="0" applyFont="1" applyFill="1" applyBorder="1" applyAlignment="1">
      <alignment horizontal="left" vertical="center" wrapText="1"/>
    </xf>
    <xf numFmtId="49" fontId="13" fillId="0" borderId="17" xfId="3" applyNumberFormat="1" applyFont="1" applyFill="1" applyBorder="1" applyAlignment="1">
      <alignment vertical="center"/>
    </xf>
    <xf numFmtId="2" fontId="13" fillId="0" borderId="17" xfId="3" applyNumberFormat="1" applyFont="1" applyFill="1" applyBorder="1" applyAlignment="1">
      <alignment vertical="center"/>
    </xf>
    <xf numFmtId="2" fontId="6" fillId="0" borderId="17" xfId="0" applyNumberFormat="1" applyFont="1" applyFill="1" applyBorder="1" applyAlignment="1">
      <alignment vertical="center"/>
    </xf>
    <xf numFmtId="49" fontId="13" fillId="0" borderId="41" xfId="3" applyNumberFormat="1" applyFont="1" applyFill="1" applyBorder="1" applyAlignment="1">
      <alignment vertical="center"/>
    </xf>
    <xf numFmtId="2" fontId="6" fillId="0" borderId="41" xfId="0" applyNumberFormat="1" applyFont="1" applyFill="1" applyBorder="1" applyAlignment="1">
      <alignment vertical="center"/>
    </xf>
    <xf numFmtId="2" fontId="6" fillId="0" borderId="37" xfId="0" applyNumberFormat="1" applyFont="1" applyFill="1" applyBorder="1" applyAlignment="1">
      <alignment horizontal="right" vertical="center"/>
    </xf>
    <xf numFmtId="2" fontId="6" fillId="0" borderId="3" xfId="0" applyNumberFormat="1" applyFont="1" applyFill="1" applyBorder="1" applyAlignment="1">
      <alignment horizontal="right" vertical="center"/>
    </xf>
    <xf numFmtId="2" fontId="13" fillId="0" borderId="33" xfId="3" applyNumberFormat="1" applyFont="1" applyFill="1" applyBorder="1" applyAlignment="1">
      <alignment horizontal="right" vertical="center"/>
    </xf>
    <xf numFmtId="2" fontId="6" fillId="0" borderId="46" xfId="0" applyNumberFormat="1" applyFont="1" applyFill="1" applyBorder="1" applyAlignment="1">
      <alignment horizontal="right" vertical="center"/>
    </xf>
    <xf numFmtId="2" fontId="13" fillId="0" borderId="13" xfId="3" applyNumberFormat="1" applyFont="1" applyFill="1" applyBorder="1" applyAlignment="1">
      <alignment horizontal="right" vertical="center"/>
    </xf>
    <xf numFmtId="2" fontId="6" fillId="0" borderId="14" xfId="0" applyNumberFormat="1" applyFont="1" applyFill="1" applyBorder="1" applyAlignment="1">
      <alignment horizontal="right" vertical="center"/>
    </xf>
    <xf numFmtId="2" fontId="6" fillId="0" borderId="18" xfId="0" applyNumberFormat="1" applyFont="1" applyFill="1" applyBorder="1" applyAlignment="1">
      <alignment horizontal="right" vertical="center"/>
    </xf>
    <xf numFmtId="2" fontId="6" fillId="0" borderId="19" xfId="0" applyNumberFormat="1" applyFont="1" applyFill="1" applyBorder="1" applyAlignment="1">
      <alignment horizontal="right" vertical="center"/>
    </xf>
    <xf numFmtId="2" fontId="6" fillId="0" borderId="33" xfId="0" applyNumberFormat="1" applyFont="1" applyFill="1" applyBorder="1" applyAlignment="1">
      <alignment horizontal="right" vertical="center"/>
    </xf>
    <xf numFmtId="2" fontId="6" fillId="0" borderId="40" xfId="0" applyNumberFormat="1" applyFont="1" applyFill="1" applyBorder="1" applyAlignment="1">
      <alignment horizontal="right" vertical="center"/>
    </xf>
    <xf numFmtId="0" fontId="6" fillId="0" borderId="57" xfId="0" applyFont="1" applyFill="1" applyBorder="1" applyAlignment="1">
      <alignment vertical="center" wrapText="1"/>
    </xf>
    <xf numFmtId="0" fontId="6" fillId="0" borderId="68" xfId="0" applyFont="1" applyFill="1" applyBorder="1" applyAlignment="1">
      <alignment vertical="center" wrapText="1"/>
    </xf>
    <xf numFmtId="0" fontId="6" fillId="0" borderId="44" xfId="0" applyFont="1" applyFill="1" applyBorder="1" applyAlignment="1">
      <alignment vertical="center" wrapText="1"/>
    </xf>
    <xf numFmtId="0" fontId="6" fillId="0" borderId="17" xfId="0" applyFont="1" applyFill="1" applyBorder="1" applyAlignment="1">
      <alignment vertical="center" wrapText="1"/>
    </xf>
    <xf numFmtId="2" fontId="13" fillId="0" borderId="17" xfId="3" applyNumberFormat="1" applyFont="1" applyFill="1" applyBorder="1" applyAlignment="1">
      <alignment vertical="center" wrapText="1"/>
    </xf>
    <xf numFmtId="49" fontId="13" fillId="0" borderId="8" xfId="3" applyNumberFormat="1" applyFont="1" applyFill="1" applyBorder="1" applyAlignment="1">
      <alignment vertical="center"/>
    </xf>
    <xf numFmtId="2" fontId="13" fillId="0" borderId="8" xfId="3" applyNumberFormat="1" applyFont="1" applyFill="1" applyBorder="1" applyAlignment="1">
      <alignment vertical="center" wrapText="1"/>
    </xf>
    <xf numFmtId="2" fontId="6" fillId="0" borderId="8" xfId="0" applyNumberFormat="1" applyFont="1" applyFill="1" applyBorder="1" applyAlignment="1">
      <alignment vertical="center"/>
    </xf>
    <xf numFmtId="2" fontId="6" fillId="0" borderId="0" xfId="0" applyNumberFormat="1" applyFont="1" applyFill="1" applyBorder="1" applyAlignment="1">
      <alignment horizontal="right" vertical="center"/>
    </xf>
    <xf numFmtId="2" fontId="13" fillId="0" borderId="12" xfId="3" applyNumberFormat="1" applyFont="1" applyFill="1" applyBorder="1" applyAlignment="1">
      <alignment horizontal="right" vertical="center"/>
    </xf>
    <xf numFmtId="0" fontId="6" fillId="0" borderId="22" xfId="0" applyFont="1" applyFill="1" applyBorder="1" applyAlignment="1">
      <alignment vertical="center" wrapText="1"/>
    </xf>
    <xf numFmtId="0" fontId="6" fillId="0" borderId="11" xfId="0" applyFont="1" applyFill="1" applyBorder="1" applyAlignment="1">
      <alignment vertical="center" wrapText="1"/>
    </xf>
    <xf numFmtId="0" fontId="6" fillId="0" borderId="48" xfId="0" applyFont="1" applyFill="1" applyBorder="1" applyAlignment="1">
      <alignment vertical="center" wrapText="1"/>
    </xf>
    <xf numFmtId="2" fontId="6" fillId="0" borderId="39" xfId="0" applyNumberFormat="1" applyFont="1" applyFill="1" applyBorder="1" applyAlignment="1">
      <alignment horizontal="right" vertical="center"/>
    </xf>
    <xf numFmtId="1" fontId="13" fillId="0" borderId="26" xfId="3" applyNumberFormat="1" applyFont="1" applyFill="1" applyBorder="1" applyAlignment="1">
      <alignment vertical="center" wrapText="1"/>
    </xf>
    <xf numFmtId="1" fontId="13" fillId="0" borderId="34" xfId="3" applyNumberFormat="1" applyFont="1" applyFill="1" applyBorder="1" applyAlignment="1">
      <alignment vertical="center" wrapText="1"/>
    </xf>
    <xf numFmtId="49" fontId="13" fillId="0" borderId="15" xfId="3" applyNumberFormat="1" applyFont="1" applyFill="1" applyBorder="1" applyAlignment="1">
      <alignment vertical="center"/>
    </xf>
    <xf numFmtId="2" fontId="13" fillId="0" borderId="15" xfId="3" applyNumberFormat="1" applyFont="1" applyFill="1" applyBorder="1" applyAlignment="1">
      <alignment vertical="center"/>
    </xf>
    <xf numFmtId="2" fontId="6" fillId="0" borderId="15" xfId="0" applyNumberFormat="1" applyFont="1" applyFill="1" applyBorder="1" applyAlignment="1">
      <alignment vertical="center"/>
    </xf>
    <xf numFmtId="49" fontId="13" fillId="0" borderId="5" xfId="3" applyNumberFormat="1" applyFont="1" applyFill="1" applyBorder="1" applyAlignment="1">
      <alignment vertical="center"/>
    </xf>
    <xf numFmtId="2" fontId="13" fillId="0" borderId="8" xfId="3" applyNumberFormat="1" applyFont="1" applyFill="1" applyBorder="1" applyAlignment="1">
      <alignment vertical="center"/>
    </xf>
    <xf numFmtId="2" fontId="6" fillId="0" borderId="20" xfId="0" applyNumberFormat="1" applyFont="1" applyFill="1" applyBorder="1" applyAlignment="1">
      <alignment horizontal="right" vertical="center"/>
    </xf>
    <xf numFmtId="1" fontId="6" fillId="0" borderId="27" xfId="0" applyNumberFormat="1" applyFont="1" applyFill="1" applyBorder="1" applyAlignment="1">
      <alignment horizontal="right" vertical="center" wrapText="1"/>
    </xf>
    <xf numFmtId="0" fontId="6" fillId="0" borderId="57" xfId="0" applyFont="1" applyFill="1" applyBorder="1" applyAlignment="1">
      <alignment horizontal="right" vertical="center" wrapText="1"/>
    </xf>
    <xf numFmtId="0" fontId="6" fillId="0" borderId="67" xfId="0" applyFont="1" applyFill="1" applyBorder="1" applyAlignment="1">
      <alignment horizontal="right" vertical="center" wrapText="1"/>
    </xf>
    <xf numFmtId="0" fontId="6" fillId="0" borderId="26" xfId="0" applyFont="1" applyFill="1" applyBorder="1" applyAlignment="1">
      <alignment vertical="center" wrapText="1"/>
    </xf>
    <xf numFmtId="49" fontId="6" fillId="0" borderId="54" xfId="0" applyNumberFormat="1" applyFont="1" applyFill="1" applyBorder="1" applyAlignment="1">
      <alignment horizontal="left" vertical="center" wrapText="1"/>
    </xf>
    <xf numFmtId="49" fontId="13" fillId="0" borderId="18" xfId="3" applyNumberFormat="1" applyFont="1" applyFill="1" applyBorder="1" applyAlignment="1">
      <alignment horizontal="left" vertical="center"/>
    </xf>
    <xf numFmtId="49" fontId="13" fillId="0" borderId="21" xfId="3" applyNumberFormat="1" applyFont="1" applyFill="1" applyBorder="1" applyAlignment="1">
      <alignment horizontal="left" vertical="center"/>
    </xf>
    <xf numFmtId="49" fontId="13" fillId="0" borderId="67" xfId="3" applyNumberFormat="1" applyFont="1" applyFill="1" applyBorder="1" applyAlignment="1">
      <alignment vertical="top" wrapText="1"/>
    </xf>
    <xf numFmtId="0" fontId="6" fillId="0" borderId="56" xfId="0" applyFont="1" applyFill="1" applyBorder="1" applyAlignment="1">
      <alignment horizontal="right" vertical="top" wrapText="1"/>
    </xf>
    <xf numFmtId="49" fontId="13" fillId="0" borderId="54" xfId="3" applyNumberFormat="1" applyFont="1" applyFill="1" applyBorder="1" applyAlignment="1">
      <alignment vertical="top" wrapText="1"/>
    </xf>
    <xf numFmtId="49" fontId="13" fillId="0" borderId="68" xfId="3" applyNumberFormat="1" applyFont="1" applyFill="1" applyBorder="1" applyAlignment="1">
      <alignment vertical="top" wrapText="1"/>
    </xf>
    <xf numFmtId="0" fontId="6" fillId="0" borderId="30" xfId="0" applyFont="1" applyFill="1" applyBorder="1" applyAlignment="1">
      <alignment horizontal="right" vertical="top" wrapText="1"/>
    </xf>
    <xf numFmtId="0" fontId="6" fillId="0" borderId="62" xfId="0" applyFont="1" applyFill="1" applyBorder="1" applyAlignment="1">
      <alignment vertical="center" wrapText="1"/>
    </xf>
    <xf numFmtId="164" fontId="13" fillId="0" borderId="47" xfId="3" applyNumberFormat="1" applyFont="1" applyFill="1" applyBorder="1" applyAlignment="1">
      <alignment vertical="top" wrapText="1"/>
    </xf>
    <xf numFmtId="1" fontId="13" fillId="0" borderId="56" xfId="3" applyNumberFormat="1" applyFont="1" applyFill="1" applyBorder="1" applyAlignment="1">
      <alignment vertical="top" wrapText="1"/>
    </xf>
    <xf numFmtId="1" fontId="13" fillId="0" borderId="48" xfId="3" applyNumberFormat="1" applyFont="1" applyFill="1" applyBorder="1" applyAlignment="1">
      <alignment vertical="top" wrapText="1"/>
    </xf>
    <xf numFmtId="1" fontId="13" fillId="0" borderId="27" xfId="3" applyNumberFormat="1" applyFont="1" applyFill="1" applyBorder="1" applyAlignment="1">
      <alignment vertical="top" wrapText="1"/>
    </xf>
    <xf numFmtId="49" fontId="13" fillId="0" borderId="9" xfId="3" applyNumberFormat="1" applyFont="1" applyFill="1" applyBorder="1" applyAlignment="1">
      <alignment horizontal="left" vertical="center"/>
    </xf>
    <xf numFmtId="2" fontId="13" fillId="0" borderId="9" xfId="3" applyNumberFormat="1" applyFont="1" applyFill="1" applyBorder="1" applyAlignment="1">
      <alignment horizontal="right" vertical="center"/>
    </xf>
    <xf numFmtId="0" fontId="13" fillId="0" borderId="29" xfId="0" applyFont="1" applyFill="1" applyBorder="1" applyAlignment="1">
      <alignment horizontal="left" vertical="center" wrapText="1"/>
    </xf>
    <xf numFmtId="0" fontId="13" fillId="0" borderId="30" xfId="0" applyFont="1" applyFill="1" applyBorder="1" applyAlignment="1">
      <alignment vertical="center" wrapText="1"/>
    </xf>
    <xf numFmtId="3" fontId="13" fillId="0" borderId="30" xfId="8" applyNumberFormat="1" applyFont="1" applyFill="1" applyBorder="1" applyAlignment="1">
      <alignment horizontal="left" vertical="center" wrapText="1"/>
    </xf>
    <xf numFmtId="3" fontId="13" fillId="0" borderId="54" xfId="8" applyNumberFormat="1" applyFont="1" applyFill="1" applyBorder="1" applyAlignment="1">
      <alignment horizontal="left" vertical="center" wrapText="1"/>
    </xf>
    <xf numFmtId="1" fontId="13" fillId="0" borderId="54" xfId="3" applyNumberFormat="1" applyFont="1" applyFill="1" applyBorder="1" applyAlignment="1">
      <alignment vertical="center" wrapText="1"/>
    </xf>
    <xf numFmtId="3" fontId="13" fillId="0" borderId="54" xfId="8" applyNumberFormat="1" applyFont="1" applyFill="1" applyBorder="1" applyAlignment="1">
      <alignment horizontal="left" vertical="top" wrapText="1"/>
    </xf>
    <xf numFmtId="1" fontId="13" fillId="0" borderId="30" xfId="3" applyNumberFormat="1" applyFont="1" applyFill="1" applyBorder="1" applyAlignment="1">
      <alignment vertical="center" wrapText="1"/>
    </xf>
    <xf numFmtId="1" fontId="13" fillId="0" borderId="30" xfId="3" applyNumberFormat="1" applyFont="1" applyFill="1" applyBorder="1" applyAlignment="1">
      <alignment vertical="center"/>
    </xf>
    <xf numFmtId="1" fontId="13" fillId="0" borderId="44" xfId="3" applyNumberFormat="1" applyFont="1" applyFill="1" applyBorder="1" applyAlignment="1">
      <alignment vertical="center" wrapText="1"/>
    </xf>
    <xf numFmtId="1" fontId="13" fillId="0" borderId="29" xfId="3" applyNumberFormat="1" applyFont="1" applyFill="1" applyBorder="1" applyAlignment="1">
      <alignment vertical="center" wrapText="1"/>
    </xf>
    <xf numFmtId="0" fontId="13" fillId="0" borderId="30" xfId="0" applyFont="1" applyFill="1" applyBorder="1" applyAlignment="1">
      <alignment horizontal="right" vertical="center" wrapText="1"/>
    </xf>
    <xf numFmtId="1" fontId="13" fillId="0" borderId="54" xfId="3" applyNumberFormat="1" applyFont="1" applyFill="1" applyBorder="1" applyAlignment="1">
      <alignment vertical="top" wrapText="1"/>
    </xf>
    <xf numFmtId="1" fontId="13" fillId="0" borderId="55" xfId="3" applyNumberFormat="1" applyFont="1" applyFill="1" applyBorder="1" applyAlignment="1">
      <alignment vertical="top" wrapText="1"/>
    </xf>
    <xf numFmtId="164" fontId="13" fillId="0" borderId="29" xfId="3" applyNumberFormat="1" applyFont="1" applyFill="1" applyBorder="1" applyAlignment="1">
      <alignment vertical="top" wrapText="1"/>
    </xf>
    <xf numFmtId="49" fontId="13" fillId="0" borderId="29" xfId="3" applyNumberFormat="1" applyFont="1" applyFill="1" applyBorder="1" applyAlignment="1">
      <alignment horizontal="left" vertical="top" wrapText="1"/>
    </xf>
    <xf numFmtId="164" fontId="13" fillId="0" borderId="27" xfId="3" applyNumberFormat="1" applyFont="1" applyFill="1" applyBorder="1" applyAlignment="1">
      <alignment vertical="center" wrapText="1"/>
    </xf>
    <xf numFmtId="0" fontId="6" fillId="0" borderId="27" xfId="0" applyFont="1" applyFill="1" applyBorder="1" applyAlignment="1">
      <alignment horizontal="right" vertical="top" wrapText="1"/>
    </xf>
    <xf numFmtId="164" fontId="13" fillId="0" borderId="30" xfId="3" applyNumberFormat="1" applyFont="1" applyFill="1" applyBorder="1" applyAlignment="1">
      <alignment vertical="center" wrapText="1"/>
    </xf>
    <xf numFmtId="164" fontId="13" fillId="0" borderId="29" xfId="3" applyNumberFormat="1" applyFont="1" applyFill="1" applyBorder="1" applyAlignment="1">
      <alignment vertical="center" wrapText="1"/>
    </xf>
    <xf numFmtId="164" fontId="13" fillId="0" borderId="56" xfId="3" applyNumberFormat="1" applyFont="1" applyFill="1" applyBorder="1" applyAlignment="1">
      <alignment vertical="center" wrapText="1"/>
    </xf>
    <xf numFmtId="3" fontId="13" fillId="0" borderId="29" xfId="8" applyNumberFormat="1" applyFont="1" applyFill="1" applyBorder="1" applyAlignment="1">
      <alignment horizontal="left" vertical="top" wrapText="1"/>
    </xf>
    <xf numFmtId="1" fontId="6" fillId="0" borderId="30" xfId="1" applyNumberFormat="1" applyFont="1" applyFill="1" applyBorder="1" applyAlignment="1">
      <alignment horizontal="right" vertical="center" wrapText="1"/>
    </xf>
    <xf numFmtId="0" fontId="13" fillId="0" borderId="69" xfId="0" applyFont="1" applyFill="1" applyBorder="1" applyAlignment="1">
      <alignment vertical="center" wrapText="1"/>
    </xf>
    <xf numFmtId="0" fontId="13" fillId="0" borderId="43" xfId="0" applyFont="1" applyFill="1" applyBorder="1" applyAlignment="1">
      <alignment vertical="center" wrapText="1"/>
    </xf>
    <xf numFmtId="1" fontId="13" fillId="0" borderId="56" xfId="3" applyNumberFormat="1" applyFont="1" applyFill="1" applyBorder="1" applyAlignment="1">
      <alignment vertical="center" wrapText="1"/>
    </xf>
    <xf numFmtId="1" fontId="13" fillId="0" borderId="17" xfId="3" applyNumberFormat="1" applyFont="1" applyFill="1" applyBorder="1" applyAlignment="1">
      <alignment vertical="center"/>
    </xf>
    <xf numFmtId="0" fontId="13" fillId="0" borderId="29" xfId="0" applyFont="1" applyFill="1" applyBorder="1" applyAlignment="1">
      <alignment vertical="center"/>
    </xf>
    <xf numFmtId="0" fontId="6" fillId="0" borderId="30" xfId="1" applyNumberFormat="1" applyFont="1" applyFill="1" applyBorder="1" applyAlignment="1">
      <alignment horizontal="right" vertical="center" wrapText="1"/>
    </xf>
    <xf numFmtId="2" fontId="13" fillId="0" borderId="24" xfId="3" applyNumberFormat="1" applyFont="1" applyFill="1" applyBorder="1" applyAlignment="1">
      <alignment vertical="center"/>
    </xf>
    <xf numFmtId="0" fontId="13" fillId="0" borderId="56" xfId="0" applyFont="1" applyFill="1" applyBorder="1" applyAlignment="1">
      <alignment vertical="center" wrapText="1"/>
    </xf>
    <xf numFmtId="0" fontId="6" fillId="0" borderId="64" xfId="0" applyFont="1" applyFill="1" applyBorder="1" applyAlignment="1">
      <alignment vertical="center" wrapText="1"/>
    </xf>
    <xf numFmtId="0" fontId="6" fillId="0" borderId="71" xfId="0" applyFont="1" applyFill="1" applyBorder="1" applyAlignment="1">
      <alignment vertical="center" wrapText="1"/>
    </xf>
    <xf numFmtId="0" fontId="13" fillId="0" borderId="54" xfId="0" applyFont="1" applyFill="1" applyBorder="1" applyAlignment="1">
      <alignment vertical="center" wrapText="1"/>
    </xf>
    <xf numFmtId="3" fontId="13" fillId="0" borderId="29" xfId="8" applyNumberFormat="1" applyFont="1" applyFill="1" applyBorder="1" applyAlignment="1">
      <alignment horizontal="left" vertical="center" wrapText="1"/>
    </xf>
    <xf numFmtId="0" fontId="6" fillId="0" borderId="19" xfId="0" applyFont="1" applyFill="1" applyBorder="1" applyAlignment="1">
      <alignment horizontal="left" vertical="center"/>
    </xf>
    <xf numFmtId="0" fontId="13" fillId="0" borderId="38" xfId="0" applyFont="1" applyFill="1" applyBorder="1" applyAlignment="1">
      <alignment vertical="center" wrapText="1"/>
    </xf>
    <xf numFmtId="0" fontId="6" fillId="0" borderId="6" xfId="0" applyFont="1" applyFill="1" applyBorder="1" applyAlignment="1">
      <alignment horizontal="left" vertical="center"/>
    </xf>
    <xf numFmtId="0" fontId="14" fillId="0" borderId="55" xfId="0" applyFont="1" applyFill="1" applyBorder="1" applyAlignment="1">
      <alignment horizontal="left" vertical="center" wrapText="1"/>
    </xf>
    <xf numFmtId="0" fontId="14" fillId="0" borderId="34" xfId="0" applyFont="1" applyFill="1" applyBorder="1" applyAlignment="1">
      <alignment horizontal="left" vertical="center" wrapText="1"/>
    </xf>
    <xf numFmtId="164" fontId="13" fillId="0" borderId="67" xfId="3" applyNumberFormat="1" applyFont="1" applyFill="1" applyBorder="1" applyAlignment="1">
      <alignment vertical="center"/>
    </xf>
    <xf numFmtId="164" fontId="13" fillId="0" borderId="54" xfId="3" applyNumberFormat="1" applyFont="1" applyFill="1" applyBorder="1" applyAlignment="1">
      <alignment vertical="center"/>
    </xf>
    <xf numFmtId="164" fontId="13" fillId="0" borderId="54" xfId="3" applyNumberFormat="1" applyFont="1" applyFill="1" applyBorder="1" applyAlignment="1">
      <alignment vertical="center" wrapText="1"/>
    </xf>
    <xf numFmtId="49" fontId="13" fillId="0" borderId="67" xfId="3" applyNumberFormat="1" applyFont="1" applyFill="1" applyBorder="1" applyAlignment="1">
      <alignment vertical="center" wrapText="1"/>
    </xf>
    <xf numFmtId="49" fontId="13" fillId="0" borderId="54" xfId="3" applyNumberFormat="1" applyFont="1" applyFill="1" applyBorder="1" applyAlignment="1">
      <alignment vertical="center" wrapText="1"/>
    </xf>
    <xf numFmtId="1" fontId="13" fillId="0" borderId="67" xfId="3" applyNumberFormat="1" applyFont="1" applyFill="1" applyBorder="1" applyAlignment="1">
      <alignment vertical="top" wrapText="1"/>
    </xf>
    <xf numFmtId="0" fontId="13" fillId="0" borderId="56" xfId="0" applyFont="1" applyFill="1" applyBorder="1" applyAlignment="1">
      <alignment horizontal="left" vertical="center" wrapText="1"/>
    </xf>
    <xf numFmtId="0" fontId="13" fillId="0" borderId="70" xfId="0" applyFont="1" applyFill="1" applyBorder="1" applyAlignment="1">
      <alignment horizontal="left" vertical="center" wrapText="1"/>
    </xf>
    <xf numFmtId="0" fontId="13" fillId="0" borderId="35" xfId="0" applyFont="1" applyFill="1" applyBorder="1" applyAlignment="1">
      <alignment vertical="center"/>
    </xf>
    <xf numFmtId="49" fontId="13" fillId="0" borderId="57" xfId="3" applyNumberFormat="1" applyFont="1" applyFill="1" applyBorder="1" applyAlignment="1">
      <alignment vertical="top" wrapText="1"/>
    </xf>
    <xf numFmtId="49" fontId="13" fillId="0" borderId="54" xfId="3" applyNumberFormat="1" applyFont="1" applyFill="1" applyBorder="1" applyAlignment="1">
      <alignment vertical="top"/>
    </xf>
    <xf numFmtId="0" fontId="6" fillId="0" borderId="5" xfId="0" applyFont="1" applyFill="1" applyBorder="1" applyAlignment="1">
      <alignment vertical="center" wrapText="1"/>
    </xf>
    <xf numFmtId="2" fontId="6" fillId="0" borderId="5" xfId="0" applyNumberFormat="1" applyFont="1" applyFill="1" applyBorder="1" applyAlignment="1">
      <alignment vertical="center"/>
    </xf>
    <xf numFmtId="164" fontId="13" fillId="0" borderId="30" xfId="0" applyNumberFormat="1" applyFont="1" applyFill="1" applyBorder="1" applyAlignment="1">
      <alignment horizontal="left" vertical="center" wrapText="1"/>
    </xf>
    <xf numFmtId="0" fontId="18" fillId="0" borderId="20" xfId="0" applyFont="1" applyFill="1" applyBorder="1" applyAlignment="1">
      <alignment vertical="center" wrapText="1"/>
    </xf>
    <xf numFmtId="0" fontId="18" fillId="0" borderId="22" xfId="0" applyFont="1" applyFill="1" applyBorder="1" applyAlignment="1">
      <alignment vertical="center" wrapText="1"/>
    </xf>
    <xf numFmtId="0" fontId="6" fillId="0" borderId="17" xfId="0" applyFont="1" applyFill="1" applyBorder="1" applyAlignment="1">
      <alignment vertical="center"/>
    </xf>
    <xf numFmtId="9" fontId="6" fillId="0" borderId="27" xfId="1" applyFont="1" applyFill="1" applyBorder="1" applyAlignment="1">
      <alignment horizontal="right" vertical="center" wrapText="1"/>
    </xf>
    <xf numFmtId="9" fontId="6" fillId="0" borderId="35" xfId="1" applyFont="1" applyFill="1" applyBorder="1" applyAlignment="1">
      <alignment horizontal="right" vertical="center" wrapText="1"/>
    </xf>
    <xf numFmtId="0" fontId="6" fillId="0" borderId="55" xfId="0" applyFont="1" applyFill="1" applyBorder="1" applyAlignment="1">
      <alignment vertical="center" wrapText="1"/>
    </xf>
    <xf numFmtId="0" fontId="6" fillId="0" borderId="21" xfId="0" applyFont="1" applyFill="1" applyBorder="1" applyAlignment="1">
      <alignment horizontal="left" vertical="center"/>
    </xf>
    <xf numFmtId="0" fontId="6" fillId="0" borderId="56" xfId="0" applyFont="1" applyFill="1" applyBorder="1" applyAlignment="1">
      <alignment horizontal="right" vertical="center"/>
    </xf>
    <xf numFmtId="1" fontId="20" fillId="0" borderId="43" xfId="3"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49" fontId="13" fillId="4" borderId="12" xfId="3" applyNumberFormat="1" applyFont="1" applyFill="1" applyBorder="1" applyAlignment="1">
      <alignment horizontal="left" vertical="center" wrapText="1"/>
    </xf>
    <xf numFmtId="2" fontId="15" fillId="4" borderId="13" xfId="3" applyNumberFormat="1" applyFont="1" applyFill="1" applyBorder="1" applyAlignment="1">
      <alignment horizontal="right" vertical="center" wrapText="1"/>
    </xf>
    <xf numFmtId="2" fontId="13" fillId="0" borderId="41" xfId="3" applyNumberFormat="1" applyFont="1" applyFill="1" applyBorder="1" applyAlignment="1">
      <alignment vertical="center"/>
    </xf>
    <xf numFmtId="0" fontId="20" fillId="0" borderId="29" xfId="0" applyFont="1" applyFill="1" applyBorder="1" applyAlignment="1">
      <alignment vertical="center" wrapText="1"/>
    </xf>
    <xf numFmtId="0" fontId="13" fillId="0" borderId="69" xfId="0" applyFont="1" applyFill="1" applyBorder="1" applyAlignment="1">
      <alignment horizontal="left" vertical="center" wrapText="1"/>
    </xf>
    <xf numFmtId="0" fontId="13" fillId="0" borderId="55" xfId="0" applyFont="1" applyFill="1" applyBorder="1" applyAlignment="1">
      <alignment horizontal="left" vertical="center" wrapText="1"/>
    </xf>
    <xf numFmtId="0" fontId="13" fillId="0" borderId="69" xfId="4" applyFont="1" applyFill="1" applyBorder="1" applyAlignment="1">
      <alignment vertical="center" wrapText="1"/>
    </xf>
    <xf numFmtId="0" fontId="13" fillId="0" borderId="55" xfId="4" applyFont="1" applyFill="1" applyBorder="1" applyAlignment="1">
      <alignment vertical="center" wrapText="1"/>
    </xf>
    <xf numFmtId="0" fontId="13" fillId="0" borderId="56" xfId="4" applyFont="1" applyFill="1" applyBorder="1" applyAlignment="1">
      <alignment vertical="center" wrapText="1"/>
    </xf>
    <xf numFmtId="0" fontId="13" fillId="0" borderId="26" xfId="4" applyFont="1" applyFill="1" applyBorder="1" applyAlignment="1">
      <alignment vertical="center" wrapText="1"/>
    </xf>
    <xf numFmtId="0" fontId="13" fillId="0" borderId="27" xfId="4" applyFont="1" applyFill="1" applyBorder="1" applyAlignment="1">
      <alignment vertical="center" wrapText="1"/>
    </xf>
    <xf numFmtId="0" fontId="13" fillId="0" borderId="70" xfId="4" applyFont="1" applyFill="1" applyBorder="1" applyAlignment="1">
      <alignment vertical="center" wrapText="1"/>
    </xf>
    <xf numFmtId="1" fontId="13" fillId="0" borderId="5" xfId="3" applyNumberFormat="1" applyFont="1" applyFill="1" applyBorder="1" applyAlignment="1">
      <alignment horizontal="right" vertical="center"/>
    </xf>
    <xf numFmtId="0" fontId="12" fillId="23" borderId="16" xfId="0" applyFont="1" applyFill="1" applyBorder="1" applyAlignment="1">
      <alignment horizontal="left" vertical="center" wrapText="1"/>
    </xf>
    <xf numFmtId="49" fontId="13" fillId="23" borderId="12" xfId="3" applyNumberFormat="1" applyFont="1" applyFill="1" applyBorder="1" applyAlignment="1">
      <alignment horizontal="left" vertical="center"/>
    </xf>
    <xf numFmtId="2" fontId="17" fillId="23" borderId="13" xfId="3" applyNumberFormat="1" applyFont="1" applyFill="1" applyBorder="1" applyAlignment="1">
      <alignment horizontal="right" vertical="center"/>
    </xf>
    <xf numFmtId="0" fontId="6" fillId="0" borderId="70" xfId="0" applyFont="1" applyFill="1" applyBorder="1" applyAlignment="1">
      <alignment horizontal="right" vertical="center"/>
    </xf>
    <xf numFmtId="49" fontId="13" fillId="0" borderId="18" xfId="3" applyNumberFormat="1" applyFont="1" applyFill="1" applyBorder="1" applyAlignment="1">
      <alignment horizontal="left" vertical="center" wrapText="1"/>
    </xf>
    <xf numFmtId="2" fontId="13" fillId="0" borderId="18" xfId="3" applyNumberFormat="1" applyFont="1" applyFill="1" applyBorder="1" applyAlignment="1">
      <alignment horizontal="right" vertical="center" wrapText="1"/>
    </xf>
    <xf numFmtId="164" fontId="20" fillId="0" borderId="56" xfId="3" applyNumberFormat="1" applyFont="1" applyBorder="1" applyAlignment="1">
      <alignment vertical="top" wrapText="1"/>
    </xf>
    <xf numFmtId="164" fontId="20" fillId="0" borderId="30" xfId="3" applyNumberFormat="1" applyFont="1" applyBorder="1" applyAlignment="1">
      <alignment vertical="top" wrapText="1"/>
    </xf>
    <xf numFmtId="164" fontId="20" fillId="0" borderId="29" xfId="3" applyNumberFormat="1" applyFont="1" applyBorder="1" applyAlignment="1">
      <alignment vertical="top" wrapText="1"/>
    </xf>
    <xf numFmtId="164" fontId="20" fillId="0" borderId="55" xfId="3" applyNumberFormat="1" applyFont="1" applyBorder="1" applyAlignment="1">
      <alignment vertical="top" wrapText="1"/>
    </xf>
    <xf numFmtId="164" fontId="20" fillId="0" borderId="29" xfId="3" applyNumberFormat="1" applyFont="1" applyBorder="1" applyAlignment="1">
      <alignment vertical="center" wrapText="1"/>
    </xf>
    <xf numFmtId="0" fontId="16" fillId="8" borderId="1" xfId="0" applyFont="1" applyFill="1" applyBorder="1" applyAlignment="1">
      <alignment horizontal="left" vertical="center" wrapText="1"/>
    </xf>
    <xf numFmtId="0" fontId="6" fillId="0" borderId="15" xfId="0" applyFont="1" applyBorder="1" applyAlignment="1">
      <alignment horizontal="left" vertical="center"/>
    </xf>
    <xf numFmtId="0" fontId="13" fillId="0" borderId="43" xfId="0" applyFont="1" applyFill="1" applyBorder="1" applyAlignment="1">
      <alignment horizontal="left" vertical="center" wrapText="1"/>
    </xf>
    <xf numFmtId="0" fontId="13" fillId="0" borderId="55" xfId="0" applyFont="1" applyFill="1" applyBorder="1" applyAlignment="1">
      <alignment vertical="center" wrapText="1"/>
    </xf>
    <xf numFmtId="1" fontId="20" fillId="0" borderId="30" xfId="3" applyNumberFormat="1" applyFont="1" applyBorder="1" applyAlignment="1">
      <alignment vertical="center" wrapText="1"/>
    </xf>
    <xf numFmtId="1" fontId="20" fillId="0" borderId="29" xfId="3" applyNumberFormat="1" applyFont="1" applyBorder="1" applyAlignment="1">
      <alignment vertical="center" wrapText="1"/>
    </xf>
    <xf numFmtId="0" fontId="20" fillId="0" borderId="29" xfId="0" applyFont="1" applyBorder="1" applyAlignment="1">
      <alignment vertical="center"/>
    </xf>
    <xf numFmtId="0" fontId="20" fillId="0" borderId="26" xfId="0" applyFont="1" applyBorder="1" applyAlignment="1">
      <alignment vertical="center" wrapText="1"/>
    </xf>
    <xf numFmtId="0" fontId="20" fillId="0" borderId="29" xfId="0" applyFont="1" applyBorder="1" applyAlignment="1">
      <alignment vertical="center" wrapText="1"/>
    </xf>
    <xf numFmtId="0" fontId="20" fillId="0" borderId="55" xfId="0" applyFont="1" applyBorder="1" applyAlignment="1">
      <alignment vertical="center" wrapText="1"/>
    </xf>
    <xf numFmtId="1" fontId="20" fillId="0" borderId="56" xfId="3" applyNumberFormat="1" applyFont="1" applyBorder="1" applyAlignment="1">
      <alignment horizontal="left" vertical="center" wrapText="1"/>
    </xf>
    <xf numFmtId="1" fontId="20" fillId="0" borderId="44" xfId="3" applyNumberFormat="1" applyFont="1" applyBorder="1" applyAlignment="1">
      <alignment horizontal="left" vertical="center" wrapText="1"/>
    </xf>
    <xf numFmtId="1" fontId="22" fillId="0" borderId="26" xfId="3" applyNumberFormat="1" applyFont="1" applyBorder="1" applyAlignment="1">
      <alignment vertical="center" wrapText="1"/>
    </xf>
    <xf numFmtId="1" fontId="22" fillId="0" borderId="29" xfId="3" applyNumberFormat="1" applyFont="1" applyBorder="1" applyAlignment="1">
      <alignment vertical="center" wrapText="1"/>
    </xf>
    <xf numFmtId="0" fontId="13" fillId="0" borderId="29" xfId="0" applyFont="1" applyFill="1" applyBorder="1" applyAlignment="1">
      <alignment vertical="center" wrapText="1"/>
    </xf>
    <xf numFmtId="0" fontId="6" fillId="0" borderId="15" xfId="0" applyFont="1" applyBorder="1" applyAlignment="1">
      <alignment vertical="center"/>
    </xf>
    <xf numFmtId="0" fontId="6" fillId="0" borderId="17" xfId="0" applyFont="1" applyBorder="1" applyAlignment="1">
      <alignment vertical="center"/>
    </xf>
    <xf numFmtId="0" fontId="6" fillId="0" borderId="15" xfId="0" applyFont="1" applyFill="1" applyBorder="1" applyAlignment="1">
      <alignment vertical="center" wrapText="1"/>
    </xf>
    <xf numFmtId="0" fontId="9" fillId="8" borderId="1" xfId="0" applyFont="1" applyFill="1" applyBorder="1" applyAlignment="1">
      <alignment horizontal="left" vertical="center" wrapText="1"/>
    </xf>
    <xf numFmtId="49" fontId="13" fillId="8" borderId="1" xfId="3" applyNumberFormat="1" applyFont="1" applyFill="1" applyBorder="1" applyAlignment="1">
      <alignment horizontal="left" vertical="center" wrapText="1"/>
    </xf>
    <xf numFmtId="2" fontId="17" fillId="8" borderId="1" xfId="3" applyNumberFormat="1" applyFont="1" applyFill="1" applyBorder="1" applyAlignment="1">
      <alignment horizontal="right" vertical="center" wrapText="1"/>
    </xf>
    <xf numFmtId="49" fontId="13" fillId="8" borderId="12" xfId="3" applyNumberFormat="1" applyFont="1" applyFill="1" applyBorder="1" applyAlignment="1">
      <alignment horizontal="left" vertical="center" wrapText="1"/>
    </xf>
    <xf numFmtId="2" fontId="17" fillId="8" borderId="12" xfId="3" applyNumberFormat="1" applyFont="1" applyFill="1" applyBorder="1" applyAlignment="1">
      <alignment horizontal="right" vertical="center" wrapText="1"/>
    </xf>
    <xf numFmtId="0" fontId="14" fillId="0" borderId="57" xfId="0" applyFont="1" applyFill="1" applyBorder="1" applyAlignment="1">
      <alignment horizontal="left" vertical="center" wrapText="1"/>
    </xf>
    <xf numFmtId="49" fontId="13" fillId="0" borderId="55" xfId="3" applyNumberFormat="1" applyFont="1" applyFill="1" applyBorder="1" applyAlignment="1">
      <alignment vertical="top" wrapText="1"/>
    </xf>
    <xf numFmtId="49" fontId="13" fillId="0" borderId="29" xfId="3" applyNumberFormat="1" applyFont="1" applyFill="1" applyBorder="1" applyAlignment="1">
      <alignment vertical="center" wrapText="1"/>
    </xf>
    <xf numFmtId="1" fontId="13" fillId="0" borderId="54" xfId="3" applyNumberFormat="1" applyFont="1" applyFill="1" applyBorder="1" applyAlignment="1">
      <alignment horizontal="left" vertical="top" wrapText="1"/>
    </xf>
    <xf numFmtId="1" fontId="20" fillId="0" borderId="67" xfId="3" applyNumberFormat="1" applyFont="1" applyBorder="1" applyAlignment="1">
      <alignment horizontal="left" vertical="center" wrapText="1"/>
    </xf>
    <xf numFmtId="1" fontId="20" fillId="0" borderId="68" xfId="3" applyNumberFormat="1" applyFont="1" applyBorder="1" applyAlignment="1">
      <alignment horizontal="left" vertical="center" wrapText="1"/>
    </xf>
    <xf numFmtId="164" fontId="6" fillId="0" borderId="15" xfId="0" applyNumberFormat="1" applyFont="1" applyFill="1" applyBorder="1" applyAlignment="1">
      <alignment horizontal="right" vertical="center"/>
    </xf>
    <xf numFmtId="0" fontId="6" fillId="0" borderId="68" xfId="0" applyFont="1" applyFill="1" applyBorder="1" applyAlignment="1">
      <alignment horizontal="right" vertical="center" wrapText="1"/>
    </xf>
    <xf numFmtId="0" fontId="16" fillId="23" borderId="12" xfId="0" applyFont="1" applyFill="1" applyBorder="1" applyAlignment="1">
      <alignment horizontal="left" vertical="center"/>
    </xf>
    <xf numFmtId="0" fontId="6" fillId="0" borderId="28" xfId="0" applyFont="1" applyFill="1" applyBorder="1" applyAlignment="1">
      <alignment horizontal="left" vertical="top" wrapText="1"/>
    </xf>
    <xf numFmtId="0" fontId="6" fillId="0" borderId="28" xfId="0" applyFont="1" applyFill="1" applyBorder="1" applyAlignment="1">
      <alignment vertical="center" wrapText="1"/>
    </xf>
    <xf numFmtId="0" fontId="6" fillId="0" borderId="36" xfId="0" applyFont="1" applyFill="1" applyBorder="1" applyAlignment="1">
      <alignment vertical="center" wrapText="1"/>
    </xf>
    <xf numFmtId="0" fontId="6" fillId="0" borderId="62" xfId="0" applyFont="1" applyFill="1" applyBorder="1" applyAlignment="1">
      <alignment vertical="top" wrapText="1"/>
    </xf>
    <xf numFmtId="0" fontId="6" fillId="0" borderId="31" xfId="0" applyFont="1" applyFill="1" applyBorder="1" applyAlignment="1">
      <alignment vertical="top" wrapText="1"/>
    </xf>
    <xf numFmtId="0" fontId="6" fillId="0" borderId="5" xfId="0" applyFont="1" applyBorder="1" applyAlignment="1">
      <alignment vertical="center"/>
    </xf>
    <xf numFmtId="49" fontId="13" fillId="0" borderId="6" xfId="3" applyNumberFormat="1" applyFont="1" applyFill="1" applyBorder="1" applyAlignment="1">
      <alignment vertical="center"/>
    </xf>
    <xf numFmtId="2" fontId="13" fillId="0" borderId="6" xfId="3" applyNumberFormat="1" applyFont="1" applyFill="1" applyBorder="1" applyAlignment="1">
      <alignment vertical="center"/>
    </xf>
    <xf numFmtId="2" fontId="6" fillId="0" borderId="6" xfId="0" applyNumberFormat="1" applyFont="1" applyFill="1" applyBorder="1" applyAlignment="1">
      <alignment vertical="center"/>
    </xf>
    <xf numFmtId="49" fontId="13" fillId="0" borderId="21" xfId="3" applyNumberFormat="1" applyFont="1" applyFill="1" applyBorder="1" applyAlignment="1">
      <alignment vertical="center"/>
    </xf>
    <xf numFmtId="2" fontId="13" fillId="0" borderId="21" xfId="3" applyNumberFormat="1" applyFont="1" applyFill="1" applyBorder="1" applyAlignment="1">
      <alignment vertical="center"/>
    </xf>
    <xf numFmtId="2" fontId="6" fillId="0" borderId="21" xfId="0" applyNumberFormat="1" applyFont="1" applyFill="1" applyBorder="1" applyAlignment="1">
      <alignment vertical="center"/>
    </xf>
    <xf numFmtId="0" fontId="13" fillId="0" borderId="47" xfId="0" applyFont="1" applyFill="1" applyBorder="1" applyAlignment="1">
      <alignment vertical="center" wrapText="1"/>
    </xf>
    <xf numFmtId="1" fontId="13" fillId="0" borderId="67" xfId="3" applyNumberFormat="1" applyFont="1" applyFill="1" applyBorder="1" applyAlignment="1">
      <alignment vertical="center" wrapText="1"/>
    </xf>
    <xf numFmtId="164" fontId="20" fillId="0" borderId="56" xfId="3" applyNumberFormat="1" applyFont="1" applyFill="1" applyBorder="1" applyAlignment="1">
      <alignment vertical="top" wrapText="1"/>
    </xf>
    <xf numFmtId="0" fontId="6" fillId="0" borderId="31" xfId="0" applyFont="1" applyFill="1" applyBorder="1" applyAlignment="1">
      <alignment vertical="center" wrapText="1"/>
    </xf>
    <xf numFmtId="2" fontId="6" fillId="0" borderId="42" xfId="0" applyNumberFormat="1" applyFont="1" applyFill="1" applyBorder="1" applyAlignment="1">
      <alignment horizontal="right" vertical="center"/>
    </xf>
    <xf numFmtId="1" fontId="6" fillId="0" borderId="24" xfId="0" applyNumberFormat="1" applyFont="1" applyFill="1" applyBorder="1" applyAlignment="1">
      <alignment horizontal="right" vertical="center"/>
    </xf>
    <xf numFmtId="1" fontId="6" fillId="0" borderId="41" xfId="0" applyNumberFormat="1" applyFont="1" applyFill="1" applyBorder="1" applyAlignment="1">
      <alignment horizontal="right" vertical="center"/>
    </xf>
    <xf numFmtId="0" fontId="13" fillId="0" borderId="28" xfId="0" applyFont="1" applyFill="1" applyBorder="1" applyAlignment="1">
      <alignment horizontal="left" vertical="center" wrapText="1"/>
    </xf>
    <xf numFmtId="0" fontId="13" fillId="0" borderId="31" xfId="0" applyFont="1" applyFill="1" applyBorder="1" applyAlignment="1">
      <alignment horizontal="left" vertical="center" wrapText="1"/>
    </xf>
    <xf numFmtId="1" fontId="13" fillId="0" borderId="38" xfId="3" applyNumberFormat="1" applyFont="1" applyFill="1" applyBorder="1" applyAlignment="1">
      <alignment horizontal="right" vertical="center"/>
    </xf>
    <xf numFmtId="2" fontId="13" fillId="0" borderId="0" xfId="3" applyNumberFormat="1" applyFont="1" applyFill="1" applyBorder="1" applyAlignment="1">
      <alignment horizontal="right" vertical="center"/>
    </xf>
    <xf numFmtId="1" fontId="6" fillId="0" borderId="17" xfId="0" applyNumberFormat="1" applyFont="1" applyFill="1" applyBorder="1" applyAlignment="1">
      <alignment horizontal="right" vertical="center"/>
    </xf>
    <xf numFmtId="0" fontId="6" fillId="0" borderId="54" xfId="0" applyFont="1" applyFill="1" applyBorder="1" applyAlignment="1">
      <alignment horizontal="right" vertical="center" wrapText="1"/>
    </xf>
    <xf numFmtId="0" fontId="6" fillId="0" borderId="54" xfId="0" applyFont="1" applyFill="1" applyBorder="1" applyAlignment="1">
      <alignment horizontal="right" vertical="center"/>
    </xf>
    <xf numFmtId="0" fontId="6" fillId="0" borderId="68" xfId="0" applyFont="1" applyFill="1" applyBorder="1" applyAlignment="1">
      <alignment horizontal="right" vertical="center"/>
    </xf>
    <xf numFmtId="1" fontId="13" fillId="0" borderId="54" xfId="3" applyNumberFormat="1" applyFont="1" applyFill="1" applyBorder="1" applyAlignment="1">
      <alignment horizontal="right" vertical="center"/>
    </xf>
    <xf numFmtId="0" fontId="6" fillId="0" borderId="35" xfId="0" applyFont="1" applyFill="1" applyBorder="1" applyAlignment="1">
      <alignment vertical="center" wrapText="1"/>
    </xf>
    <xf numFmtId="1" fontId="13" fillId="0" borderId="6" xfId="3" applyNumberFormat="1" applyFont="1" applyFill="1" applyBorder="1" applyAlignment="1">
      <alignment horizontal="right" vertical="center"/>
    </xf>
    <xf numFmtId="0" fontId="6" fillId="0" borderId="0" xfId="0" applyFont="1" applyBorder="1" applyAlignment="1">
      <alignment horizontal="left"/>
    </xf>
    <xf numFmtId="2" fontId="17" fillId="0" borderId="0" xfId="3" applyNumberFormat="1" applyFont="1" applyFill="1" applyBorder="1" applyAlignment="1">
      <alignment horizontal="right" vertical="center"/>
    </xf>
    <xf numFmtId="10" fontId="16" fillId="0" borderId="0" xfId="1" applyNumberFormat="1" applyFont="1" applyFill="1" applyBorder="1" applyAlignment="1">
      <alignment horizontal="left"/>
    </xf>
    <xf numFmtId="0" fontId="6" fillId="0" borderId="0" xfId="0" applyFont="1" applyFill="1" applyBorder="1" applyAlignment="1">
      <alignment horizontal="left"/>
    </xf>
    <xf numFmtId="0" fontId="13" fillId="0" borderId="27" xfId="3" applyFont="1" applyFill="1" applyBorder="1" applyAlignment="1">
      <alignment horizontal="right" vertical="center" wrapText="1"/>
    </xf>
    <xf numFmtId="0" fontId="13" fillId="0" borderId="57" xfId="0" applyFont="1" applyFill="1" applyBorder="1" applyAlignment="1">
      <alignment horizontal="right" vertical="center" wrapText="1"/>
    </xf>
    <xf numFmtId="0" fontId="6" fillId="0" borderId="71" xfId="0" applyFont="1" applyFill="1" applyBorder="1" applyAlignment="1">
      <alignment horizontal="right" vertical="center"/>
    </xf>
    <xf numFmtId="1" fontId="13" fillId="0" borderId="30" xfId="3" applyNumberFormat="1" applyFont="1" applyFill="1" applyBorder="1" applyAlignment="1">
      <alignment horizontal="right" vertical="center"/>
    </xf>
    <xf numFmtId="0" fontId="6" fillId="0" borderId="33"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13" fillId="0" borderId="27" xfId="4" applyFont="1" applyFill="1" applyBorder="1" applyAlignment="1">
      <alignment horizontal="right" vertical="center" wrapText="1"/>
    </xf>
    <xf numFmtId="0" fontId="6" fillId="0" borderId="13" xfId="0" applyFont="1" applyFill="1" applyBorder="1" applyAlignment="1">
      <alignment horizontal="left" vertical="center" wrapText="1"/>
    </xf>
    <xf numFmtId="0" fontId="6" fillId="0" borderId="18" xfId="0" applyFont="1" applyFill="1" applyBorder="1" applyAlignment="1">
      <alignment horizontal="left" vertical="center" wrapText="1"/>
    </xf>
    <xf numFmtId="2" fontId="13" fillId="0" borderId="17" xfId="6" applyNumberFormat="1" applyFont="1" applyFill="1" applyBorder="1" applyAlignment="1">
      <alignment horizontal="right" vertical="center"/>
    </xf>
    <xf numFmtId="0" fontId="6" fillId="0" borderId="64" xfId="0" applyFont="1" applyFill="1" applyBorder="1" applyAlignment="1">
      <alignment horizontal="right" vertical="center" wrapText="1"/>
    </xf>
    <xf numFmtId="0" fontId="6" fillId="0" borderId="6" xfId="0" applyFont="1" applyFill="1" applyBorder="1" applyAlignment="1">
      <alignment vertical="center" wrapText="1"/>
    </xf>
    <xf numFmtId="2" fontId="6" fillId="0" borderId="27" xfId="0" applyNumberFormat="1" applyFont="1" applyFill="1" applyBorder="1" applyAlignment="1">
      <alignment horizontal="right" vertical="center" wrapText="1"/>
    </xf>
    <xf numFmtId="2" fontId="6" fillId="0" borderId="30" xfId="0" applyNumberFormat="1" applyFont="1" applyFill="1" applyBorder="1" applyAlignment="1">
      <alignment horizontal="right" vertical="center" wrapText="1"/>
    </xf>
    <xf numFmtId="164" fontId="6" fillId="0" borderId="30" xfId="0" applyNumberFormat="1" applyFont="1" applyFill="1" applyBorder="1" applyAlignment="1">
      <alignment horizontal="right" vertical="center" wrapText="1"/>
    </xf>
    <xf numFmtId="2" fontId="6" fillId="0" borderId="56" xfId="0" applyNumberFormat="1" applyFont="1" applyFill="1" applyBorder="1" applyAlignment="1">
      <alignment horizontal="right" vertical="center" wrapText="1"/>
    </xf>
    <xf numFmtId="1" fontId="13" fillId="0" borderId="17" xfId="3" applyNumberFormat="1" applyFont="1" applyFill="1" applyBorder="1" applyAlignment="1">
      <alignment horizontal="right" vertical="center"/>
    </xf>
    <xf numFmtId="0" fontId="0" fillId="0" borderId="0" xfId="0" applyFill="1" applyAlignment="1">
      <alignment vertical="top" wrapText="1"/>
    </xf>
    <xf numFmtId="0" fontId="6" fillId="0" borderId="47" xfId="0" applyFont="1" applyFill="1" applyBorder="1" applyAlignment="1">
      <alignment vertical="center" wrapText="1"/>
    </xf>
    <xf numFmtId="1" fontId="6" fillId="0" borderId="48" xfId="0" applyNumberFormat="1" applyFont="1" applyFill="1" applyBorder="1" applyAlignment="1">
      <alignment vertical="center" wrapText="1"/>
    </xf>
    <xf numFmtId="1" fontId="6" fillId="0" borderId="27" xfId="0" applyNumberFormat="1" applyFont="1" applyFill="1" applyBorder="1" applyAlignment="1">
      <alignment vertical="center" wrapText="1"/>
    </xf>
    <xf numFmtId="164" fontId="20" fillId="0" borderId="29" xfId="3" applyNumberFormat="1" applyFont="1" applyFill="1" applyBorder="1" applyAlignment="1">
      <alignment vertical="top" wrapText="1"/>
    </xf>
    <xf numFmtId="164" fontId="20" fillId="0" borderId="73" xfId="3" applyNumberFormat="1" applyFont="1" applyFill="1" applyBorder="1" applyAlignment="1">
      <alignment vertical="top" wrapText="1"/>
    </xf>
    <xf numFmtId="49" fontId="13" fillId="0" borderId="26" xfId="3" applyNumberFormat="1" applyFont="1" applyFill="1" applyBorder="1" applyAlignment="1">
      <alignment vertical="top"/>
    </xf>
    <xf numFmtId="49" fontId="13" fillId="0" borderId="29" xfId="3" applyNumberFormat="1" applyFont="1" applyFill="1" applyBorder="1" applyAlignment="1">
      <alignment vertical="top"/>
    </xf>
    <xf numFmtId="49" fontId="13" fillId="0" borderId="29" xfId="3" applyNumberFormat="1" applyFont="1" applyFill="1" applyBorder="1" applyAlignment="1">
      <alignment vertical="top" wrapText="1"/>
    </xf>
    <xf numFmtId="1" fontId="13" fillId="0" borderId="43" xfId="3" applyNumberFormat="1" applyFont="1" applyFill="1" applyBorder="1" applyAlignment="1">
      <alignment vertical="top" wrapText="1"/>
    </xf>
    <xf numFmtId="1" fontId="13" fillId="0" borderId="55" xfId="0" applyNumberFormat="1" applyFont="1" applyFill="1" applyBorder="1" applyAlignment="1">
      <alignment horizontal="left" vertical="top" wrapText="1"/>
    </xf>
    <xf numFmtId="0" fontId="6" fillId="0" borderId="34" xfId="0" applyFont="1" applyFill="1" applyBorder="1" applyAlignment="1">
      <alignment vertical="center" wrapText="1"/>
    </xf>
    <xf numFmtId="0" fontId="6" fillId="0" borderId="9" xfId="0" applyFont="1" applyFill="1" applyBorder="1" applyAlignment="1">
      <alignment vertical="center" wrapText="1"/>
    </xf>
    <xf numFmtId="1" fontId="13" fillId="0" borderId="29" xfId="3" applyNumberFormat="1" applyFont="1" applyFill="1" applyBorder="1" applyAlignment="1">
      <alignment vertical="top"/>
    </xf>
    <xf numFmtId="0" fontId="0" fillId="0" borderId="0" xfId="0" applyFill="1"/>
    <xf numFmtId="0" fontId="20" fillId="0" borderId="70" xfId="0" applyFont="1" applyFill="1" applyBorder="1" applyAlignment="1">
      <alignment vertical="center"/>
    </xf>
    <xf numFmtId="0" fontId="20" fillId="0" borderId="55" xfId="0" applyFont="1" applyFill="1" applyBorder="1" applyAlignment="1">
      <alignment vertical="center"/>
    </xf>
    <xf numFmtId="0" fontId="0" fillId="0" borderId="0" xfId="0" applyFill="1" applyAlignment="1">
      <alignment wrapText="1"/>
    </xf>
    <xf numFmtId="0" fontId="0" fillId="0" borderId="0" xfId="0" applyFill="1" applyAlignment="1">
      <alignment vertical="top"/>
    </xf>
    <xf numFmtId="0" fontId="0" fillId="0" borderId="0" xfId="0" applyFill="1" applyBorder="1" applyAlignment="1">
      <alignment vertical="top" wrapText="1"/>
    </xf>
    <xf numFmtId="0" fontId="6" fillId="0" borderId="41" xfId="0" applyFont="1" applyBorder="1" applyAlignment="1">
      <alignment vertical="center" wrapText="1"/>
    </xf>
    <xf numFmtId="164" fontId="20" fillId="0" borderId="55" xfId="3" applyNumberFormat="1" applyFont="1" applyFill="1" applyBorder="1" applyAlignment="1">
      <alignment vertical="top" wrapText="1"/>
    </xf>
    <xf numFmtId="0" fontId="0" fillId="0" borderId="0" xfId="0" applyFill="1" applyAlignment="1"/>
    <xf numFmtId="0" fontId="0" fillId="0" borderId="0" xfId="0" applyFill="1" applyBorder="1" applyAlignment="1">
      <alignment wrapText="1"/>
    </xf>
    <xf numFmtId="0" fontId="16" fillId="11" borderId="12" xfId="0" applyFont="1" applyFill="1" applyBorder="1" applyAlignment="1">
      <alignment horizontal="left" vertical="center"/>
    </xf>
    <xf numFmtId="0" fontId="9" fillId="11" borderId="16" xfId="0" applyFont="1" applyFill="1" applyBorder="1" applyAlignment="1">
      <alignment horizontal="left" vertical="center" wrapText="1"/>
    </xf>
    <xf numFmtId="49" fontId="13" fillId="11" borderId="12" xfId="3" applyNumberFormat="1" applyFont="1" applyFill="1" applyBorder="1" applyAlignment="1">
      <alignment horizontal="left" vertical="center"/>
    </xf>
    <xf numFmtId="2" fontId="17" fillId="11" borderId="13" xfId="3" applyNumberFormat="1" applyFont="1" applyFill="1" applyBorder="1" applyAlignment="1">
      <alignment horizontal="right" vertical="center"/>
    </xf>
    <xf numFmtId="0" fontId="9" fillId="10" borderId="11" xfId="0" applyFont="1" applyFill="1" applyBorder="1" applyAlignment="1">
      <alignment horizontal="left" vertical="center" wrapText="1"/>
    </xf>
    <xf numFmtId="2" fontId="17" fillId="10" borderId="12" xfId="3" applyNumberFormat="1" applyFont="1" applyFill="1" applyBorder="1" applyAlignment="1">
      <alignment horizontal="right" vertical="center"/>
    </xf>
    <xf numFmtId="2" fontId="6" fillId="0" borderId="23" xfId="0" applyNumberFormat="1" applyFont="1" applyFill="1" applyBorder="1" applyAlignment="1">
      <alignment horizontal="right" vertical="center"/>
    </xf>
    <xf numFmtId="2" fontId="15" fillId="0" borderId="18" xfId="3" applyNumberFormat="1" applyFont="1" applyFill="1" applyBorder="1" applyAlignment="1">
      <alignment horizontal="right"/>
    </xf>
    <xf numFmtId="2" fontId="15" fillId="0" borderId="21" xfId="3" applyNumberFormat="1" applyFont="1" applyFill="1" applyBorder="1" applyAlignment="1">
      <alignment horizontal="right"/>
    </xf>
    <xf numFmtId="2" fontId="15" fillId="0" borderId="33" xfId="3" applyNumberFormat="1" applyFont="1" applyFill="1" applyBorder="1" applyAlignment="1">
      <alignment horizontal="right"/>
    </xf>
    <xf numFmtId="1" fontId="6" fillId="0" borderId="21" xfId="0" applyNumberFormat="1" applyFont="1" applyFill="1" applyBorder="1" applyAlignment="1">
      <alignment horizontal="right" vertical="center"/>
    </xf>
    <xf numFmtId="1" fontId="6" fillId="0" borderId="23" xfId="0" applyNumberFormat="1" applyFont="1" applyFill="1" applyBorder="1" applyAlignment="1">
      <alignment horizontal="right" vertical="center"/>
    </xf>
    <xf numFmtId="0" fontId="0" fillId="0" borderId="0" xfId="0" applyFill="1" applyAlignment="1">
      <alignment vertical="center" wrapText="1"/>
    </xf>
    <xf numFmtId="0" fontId="16" fillId="24" borderId="12" xfId="0" applyFont="1" applyFill="1" applyBorder="1" applyAlignment="1">
      <alignment horizontal="left" vertical="center" wrapText="1"/>
    </xf>
    <xf numFmtId="0" fontId="9" fillId="24" borderId="12" xfId="0" applyFont="1" applyFill="1" applyBorder="1" applyAlignment="1">
      <alignment horizontal="left" vertical="center" wrapText="1"/>
    </xf>
    <xf numFmtId="49" fontId="13" fillId="24" borderId="13" xfId="3" applyNumberFormat="1" applyFont="1" applyFill="1" applyBorder="1" applyAlignment="1">
      <alignment horizontal="left" vertical="center"/>
    </xf>
    <xf numFmtId="2" fontId="17" fillId="24" borderId="13" xfId="3" applyNumberFormat="1" applyFont="1" applyFill="1" applyBorder="1" applyAlignment="1">
      <alignment horizontal="right" vertical="center"/>
    </xf>
    <xf numFmtId="0" fontId="6" fillId="0" borderId="21"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49" fontId="15" fillId="0" borderId="0" xfId="3" applyNumberFormat="1" applyFont="1" applyBorder="1" applyAlignment="1">
      <alignment horizontal="left"/>
    </xf>
    <xf numFmtId="0" fontId="6" fillId="0" borderId="60" xfId="0" applyFont="1" applyFill="1" applyBorder="1" applyAlignment="1">
      <alignment horizontal="right" vertical="center" wrapText="1"/>
    </xf>
    <xf numFmtId="0" fontId="6" fillId="0" borderId="56" xfId="0" applyFont="1" applyFill="1" applyBorder="1" applyAlignment="1">
      <alignment horizontal="right" vertical="center" wrapText="1"/>
    </xf>
    <xf numFmtId="0" fontId="6" fillId="0" borderId="45" xfId="0" applyFont="1" applyFill="1" applyBorder="1" applyAlignment="1">
      <alignment vertical="center" wrapText="1"/>
    </xf>
    <xf numFmtId="0" fontId="6" fillId="0" borderId="63" xfId="0" applyFont="1" applyFill="1" applyBorder="1" applyAlignment="1">
      <alignment vertical="center" wrapText="1"/>
    </xf>
    <xf numFmtId="0" fontId="6" fillId="0" borderId="45" xfId="0" applyFont="1" applyFill="1" applyBorder="1" applyAlignment="1">
      <alignment horizontal="left" vertical="top" wrapText="1"/>
    </xf>
    <xf numFmtId="0" fontId="6" fillId="0" borderId="45"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44" xfId="0" applyFont="1" applyFill="1" applyBorder="1" applyAlignment="1">
      <alignment horizontal="right" vertical="center" wrapText="1"/>
    </xf>
    <xf numFmtId="0" fontId="6" fillId="0" borderId="70" xfId="0" applyFont="1" applyFill="1" applyBorder="1" applyAlignment="1">
      <alignment horizontal="right" vertical="center" wrapText="1"/>
    </xf>
    <xf numFmtId="0" fontId="6" fillId="0" borderId="48" xfId="0" applyFont="1" applyFill="1" applyBorder="1" applyAlignment="1">
      <alignment horizontal="right" vertical="center" wrapText="1"/>
    </xf>
    <xf numFmtId="0" fontId="6" fillId="0" borderId="31"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69"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13" fillId="0" borderId="56" xfId="0" applyFont="1" applyFill="1" applyBorder="1" applyAlignment="1">
      <alignment horizontal="right" vertical="center" wrapText="1"/>
    </xf>
    <xf numFmtId="0" fontId="6" fillId="0" borderId="56" xfId="1" applyNumberFormat="1" applyFont="1" applyFill="1" applyBorder="1" applyAlignment="1">
      <alignment horizontal="right" vertical="center" wrapText="1"/>
    </xf>
    <xf numFmtId="0" fontId="6" fillId="0" borderId="36" xfId="0" applyFont="1" applyFill="1" applyBorder="1" applyAlignment="1">
      <alignment horizontal="left" vertical="center" wrapText="1"/>
    </xf>
    <xf numFmtId="2" fontId="6" fillId="0" borderId="24" xfId="0" applyNumberFormat="1" applyFont="1" applyFill="1" applyBorder="1" applyAlignment="1">
      <alignment horizontal="right" vertical="center"/>
    </xf>
    <xf numFmtId="2" fontId="6" fillId="0" borderId="5" xfId="0" applyNumberFormat="1" applyFont="1" applyFill="1" applyBorder="1" applyAlignment="1">
      <alignment horizontal="right" vertical="center"/>
    </xf>
    <xf numFmtId="2" fontId="6" fillId="0" borderId="8" xfId="0" applyNumberFormat="1" applyFont="1" applyFill="1" applyBorder="1" applyAlignment="1">
      <alignment horizontal="right" vertical="center"/>
    </xf>
    <xf numFmtId="0" fontId="6" fillId="0" borderId="24" xfId="0" applyFont="1" applyBorder="1" applyAlignment="1">
      <alignment horizontal="left" vertical="center" wrapText="1"/>
    </xf>
    <xf numFmtId="0" fontId="6" fillId="0" borderId="5" xfId="0" applyFont="1" applyBorder="1" applyAlignment="1">
      <alignment horizontal="left" vertical="center" wrapText="1"/>
    </xf>
    <xf numFmtId="0" fontId="6" fillId="0" borderId="41" xfId="0" applyFont="1" applyBorder="1" applyAlignment="1">
      <alignment horizontal="left" vertical="center" wrapText="1"/>
    </xf>
    <xf numFmtId="0" fontId="6" fillId="0" borderId="2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41" xfId="0" applyFont="1" applyFill="1" applyBorder="1" applyAlignment="1">
      <alignment horizontal="left" vertical="center" wrapText="1"/>
    </xf>
    <xf numFmtId="49" fontId="13" fillId="0" borderId="23" xfId="3" applyNumberFormat="1" applyFont="1" applyFill="1" applyBorder="1" applyAlignment="1">
      <alignment horizontal="left" vertical="center"/>
    </xf>
    <xf numFmtId="49" fontId="13" fillId="0" borderId="19" xfId="3" applyNumberFormat="1" applyFont="1" applyFill="1" applyBorder="1" applyAlignment="1">
      <alignment horizontal="left" vertical="center"/>
    </xf>
    <xf numFmtId="2" fontId="13" fillId="0" borderId="24" xfId="3" applyNumberFormat="1" applyFont="1" applyFill="1" applyBorder="1" applyAlignment="1">
      <alignment horizontal="right" vertical="center"/>
    </xf>
    <xf numFmtId="2" fontId="13" fillId="0" borderId="41" xfId="3" applyNumberFormat="1" applyFont="1" applyFill="1" applyBorder="1" applyAlignment="1">
      <alignment horizontal="right" vertical="center"/>
    </xf>
    <xf numFmtId="49" fontId="13" fillId="0" borderId="24" xfId="3" applyNumberFormat="1" applyFont="1" applyFill="1" applyBorder="1" applyAlignment="1">
      <alignment horizontal="left" vertical="center"/>
    </xf>
    <xf numFmtId="49" fontId="13" fillId="0" borderId="5" xfId="3" applyNumberFormat="1" applyFont="1" applyFill="1" applyBorder="1" applyAlignment="1">
      <alignment horizontal="left" vertical="center"/>
    </xf>
    <xf numFmtId="49" fontId="13" fillId="0" borderId="41" xfId="3" applyNumberFormat="1" applyFont="1" applyFill="1" applyBorder="1" applyAlignment="1">
      <alignment horizontal="left" vertical="center"/>
    </xf>
    <xf numFmtId="2" fontId="6" fillId="0" borderId="41" xfId="0" applyNumberFormat="1" applyFont="1" applyFill="1" applyBorder="1" applyAlignment="1">
      <alignment horizontal="right" vertical="center"/>
    </xf>
    <xf numFmtId="0" fontId="6" fillId="0" borderId="1" xfId="0" applyFont="1" applyFill="1" applyBorder="1" applyAlignment="1">
      <alignment horizontal="left" vertical="center" wrapText="1"/>
    </xf>
    <xf numFmtId="49" fontId="13" fillId="0" borderId="1" xfId="3" applyNumberFormat="1" applyFont="1" applyFill="1" applyBorder="1" applyAlignment="1">
      <alignment horizontal="left" vertical="center"/>
    </xf>
    <xf numFmtId="2" fontId="13" fillId="0" borderId="1" xfId="3" applyNumberFormat="1" applyFont="1" applyFill="1" applyBorder="1" applyAlignment="1">
      <alignment horizontal="right" vertical="center"/>
    </xf>
    <xf numFmtId="0" fontId="6" fillId="0" borderId="41" xfId="0" applyFont="1" applyFill="1" applyBorder="1" applyAlignment="1">
      <alignment horizontal="left" vertical="center"/>
    </xf>
    <xf numFmtId="49" fontId="13" fillId="0" borderId="6" xfId="3" applyNumberFormat="1" applyFont="1" applyFill="1" applyBorder="1" applyAlignment="1">
      <alignment horizontal="left" vertical="center"/>
    </xf>
    <xf numFmtId="2" fontId="13" fillId="0" borderId="5" xfId="3" applyNumberFormat="1" applyFont="1" applyFill="1" applyBorder="1" applyAlignment="1">
      <alignment horizontal="right" vertical="center"/>
    </xf>
    <xf numFmtId="2" fontId="6" fillId="0" borderId="25"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0" fontId="6" fillId="0" borderId="8"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55" xfId="0" applyFont="1" applyFill="1" applyBorder="1" applyAlignment="1">
      <alignment horizontal="left" vertical="center" wrapText="1"/>
    </xf>
    <xf numFmtId="49" fontId="13" fillId="0" borderId="8" xfId="3" applyNumberFormat="1" applyFont="1" applyFill="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horizontal="left" vertical="top" wrapText="1"/>
    </xf>
    <xf numFmtId="0" fontId="6" fillId="0" borderId="24" xfId="0" applyFont="1" applyFill="1" applyBorder="1" applyAlignment="1">
      <alignment horizontal="left" vertical="top" wrapText="1"/>
    </xf>
    <xf numFmtId="49" fontId="13" fillId="0" borderId="24" xfId="3" applyNumberFormat="1" applyFont="1" applyFill="1" applyBorder="1" applyAlignment="1">
      <alignment horizontal="left" vertical="top"/>
    </xf>
    <xf numFmtId="2" fontId="13" fillId="0" borderId="24" xfId="3" applyNumberFormat="1" applyFont="1" applyFill="1" applyBorder="1" applyAlignment="1">
      <alignment horizontal="right" vertical="top"/>
    </xf>
    <xf numFmtId="2" fontId="6" fillId="0" borderId="24" xfId="0" applyNumberFormat="1" applyFont="1" applyFill="1" applyBorder="1" applyAlignment="1">
      <alignment horizontal="right" vertical="top"/>
    </xf>
    <xf numFmtId="0" fontId="6" fillId="0" borderId="41" xfId="0" applyFont="1" applyBorder="1" applyAlignment="1">
      <alignment horizontal="left" vertical="center"/>
    </xf>
    <xf numFmtId="0" fontId="6" fillId="0" borderId="1" xfId="0" applyFont="1" applyBorder="1" applyAlignment="1">
      <alignment horizontal="left" vertical="center"/>
    </xf>
    <xf numFmtId="0" fontId="6" fillId="0" borderId="1" xfId="0" applyFont="1" applyFill="1" applyBorder="1" applyAlignment="1">
      <alignment horizontal="left" vertical="center"/>
    </xf>
    <xf numFmtId="0" fontId="6" fillId="0" borderId="17" xfId="0" applyFont="1" applyBorder="1" applyAlignment="1">
      <alignment horizontal="left" vertical="center"/>
    </xf>
    <xf numFmtId="0" fontId="6" fillId="0" borderId="2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42" xfId="0" applyFont="1" applyFill="1" applyBorder="1" applyAlignment="1">
      <alignment horizontal="left" vertical="center" wrapText="1"/>
    </xf>
    <xf numFmtId="2" fontId="13" fillId="0" borderId="23" xfId="3" applyNumberFormat="1" applyFont="1" applyFill="1" applyBorder="1" applyAlignment="1">
      <alignment horizontal="right" vertical="center"/>
    </xf>
    <xf numFmtId="2" fontId="13" fillId="0" borderId="6" xfId="3" applyNumberFormat="1" applyFont="1" applyFill="1" applyBorder="1" applyAlignment="1">
      <alignment horizontal="right" vertical="center"/>
    </xf>
    <xf numFmtId="2" fontId="13" fillId="0" borderId="19" xfId="3" applyNumberFormat="1" applyFont="1" applyFill="1" applyBorder="1" applyAlignment="1">
      <alignment horizontal="right" vertical="center"/>
    </xf>
    <xf numFmtId="1" fontId="13" fillId="0" borderId="41" xfId="3" applyNumberFormat="1" applyFont="1" applyFill="1" applyBorder="1" applyAlignment="1">
      <alignment horizontal="right" vertical="center"/>
    </xf>
    <xf numFmtId="0" fontId="9" fillId="9" borderId="15" xfId="0" applyFont="1" applyFill="1" applyBorder="1" applyAlignment="1">
      <alignment horizontal="left" vertical="center" wrapText="1"/>
    </xf>
    <xf numFmtId="0" fontId="9" fillId="9" borderId="4" xfId="0" applyFont="1" applyFill="1" applyBorder="1" applyAlignment="1">
      <alignment horizontal="left" vertical="center" wrapText="1"/>
    </xf>
    <xf numFmtId="49" fontId="13" fillId="9" borderId="1" xfId="3" applyNumberFormat="1" applyFont="1" applyFill="1" applyBorder="1" applyAlignment="1">
      <alignment horizontal="left" vertical="center" wrapText="1"/>
    </xf>
    <xf numFmtId="2" fontId="15" fillId="9" borderId="2" xfId="3" applyNumberFormat="1" applyFont="1" applyFill="1" applyBorder="1" applyAlignment="1">
      <alignment horizontal="right" vertical="center" wrapText="1"/>
    </xf>
    <xf numFmtId="0" fontId="6" fillId="0" borderId="17" xfId="0" applyFont="1" applyFill="1" applyBorder="1" applyAlignment="1">
      <alignment horizontal="left" vertical="center" wrapText="1"/>
    </xf>
    <xf numFmtId="2" fontId="17" fillId="14" borderId="13" xfId="3" applyNumberFormat="1" applyFont="1" applyFill="1" applyBorder="1" applyAlignment="1">
      <alignment horizontal="right" vertical="center"/>
    </xf>
    <xf numFmtId="0" fontId="6" fillId="0" borderId="17" xfId="0" applyFont="1" applyBorder="1" applyAlignment="1">
      <alignment horizontal="left" vertical="center" wrapText="1"/>
    </xf>
    <xf numFmtId="3" fontId="13" fillId="0" borderId="55" xfId="8" applyNumberFormat="1" applyFont="1" applyFill="1" applyBorder="1" applyAlignment="1">
      <alignment horizontal="left" vertical="top" wrapText="1"/>
    </xf>
    <xf numFmtId="0" fontId="6" fillId="0" borderId="2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44" xfId="0" applyFont="1" applyFill="1" applyBorder="1" applyAlignment="1">
      <alignment horizontal="right" vertical="center"/>
    </xf>
    <xf numFmtId="0" fontId="6" fillId="0" borderId="2"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2" xfId="0" applyFont="1" applyBorder="1" applyAlignment="1">
      <alignment horizontal="left" vertical="center"/>
    </xf>
    <xf numFmtId="0" fontId="6" fillId="0" borderId="42" xfId="0" applyFont="1" applyBorder="1" applyAlignment="1">
      <alignment horizontal="left" vertical="center"/>
    </xf>
    <xf numFmtId="0" fontId="6" fillId="0" borderId="15" xfId="0" applyFont="1" applyFill="1" applyBorder="1" applyAlignment="1">
      <alignment horizontal="left" vertical="center" wrapText="1"/>
    </xf>
    <xf numFmtId="49" fontId="13" fillId="0" borderId="15" xfId="3" applyNumberFormat="1" applyFont="1" applyFill="1" applyBorder="1" applyAlignment="1">
      <alignment horizontal="left" vertical="center"/>
    </xf>
    <xf numFmtId="0" fontId="6" fillId="0" borderId="17" xfId="0" applyFont="1" applyFill="1" applyBorder="1" applyAlignment="1">
      <alignment horizontal="left" vertical="center"/>
    </xf>
    <xf numFmtId="2" fontId="13" fillId="0" borderId="15" xfId="3" applyNumberFormat="1" applyFont="1" applyFill="1" applyBorder="1" applyAlignment="1">
      <alignment horizontal="right" vertical="center"/>
    </xf>
    <xf numFmtId="2" fontId="13" fillId="0" borderId="17" xfId="3" applyNumberFormat="1" applyFont="1" applyFill="1" applyBorder="1" applyAlignment="1">
      <alignment horizontal="right" vertical="center"/>
    </xf>
    <xf numFmtId="2" fontId="6" fillId="0" borderId="15" xfId="0" applyNumberFormat="1" applyFont="1" applyFill="1" applyBorder="1" applyAlignment="1">
      <alignment horizontal="right" vertical="center"/>
    </xf>
    <xf numFmtId="2" fontId="6" fillId="0" borderId="17" xfId="0" applyNumberFormat="1" applyFont="1" applyFill="1" applyBorder="1" applyAlignment="1">
      <alignment horizontal="right" vertical="center"/>
    </xf>
    <xf numFmtId="0" fontId="6" fillId="0" borderId="8" xfId="0" applyFont="1" applyFill="1" applyBorder="1" applyAlignment="1">
      <alignment horizontal="left" vertical="center"/>
    </xf>
    <xf numFmtId="0" fontId="6" fillId="0" borderId="38"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27" xfId="0" applyFont="1" applyFill="1" applyBorder="1" applyAlignment="1">
      <alignment horizontal="right" vertical="center" wrapText="1"/>
    </xf>
    <xf numFmtId="0" fontId="6" fillId="0" borderId="30" xfId="0" applyFont="1" applyFill="1" applyBorder="1" applyAlignment="1">
      <alignment horizontal="right" vertical="center" wrapText="1"/>
    </xf>
    <xf numFmtId="0" fontId="6" fillId="0" borderId="35" xfId="0" applyFont="1" applyFill="1" applyBorder="1" applyAlignment="1">
      <alignment horizontal="right" vertical="center" wrapText="1"/>
    </xf>
    <xf numFmtId="0" fontId="6" fillId="0" borderId="15" xfId="0" applyFont="1" applyBorder="1" applyAlignment="1">
      <alignment horizontal="left" vertical="center" wrapText="1"/>
    </xf>
    <xf numFmtId="49" fontId="13" fillId="0" borderId="17" xfId="3" applyNumberFormat="1" applyFont="1" applyFill="1" applyBorder="1" applyAlignment="1">
      <alignment horizontal="left" vertical="center"/>
    </xf>
    <xf numFmtId="0" fontId="9" fillId="6" borderId="3" xfId="0" applyFont="1" applyFill="1" applyBorder="1" applyAlignment="1">
      <alignment horizontal="left" vertical="center" wrapText="1"/>
    </xf>
    <xf numFmtId="0" fontId="13" fillId="0" borderId="63" xfId="0" applyFont="1" applyFill="1" applyBorder="1" applyAlignment="1">
      <alignment horizontal="left" vertical="center" wrapText="1"/>
    </xf>
    <xf numFmtId="164" fontId="6" fillId="0" borderId="17" xfId="0" applyNumberFormat="1" applyFont="1" applyFill="1" applyBorder="1" applyAlignment="1">
      <alignment horizontal="right" vertical="center"/>
    </xf>
    <xf numFmtId="1" fontId="6" fillId="0" borderId="44" xfId="0" applyNumberFormat="1" applyFont="1" applyFill="1" applyBorder="1" applyAlignment="1">
      <alignment horizontal="right" vertical="center" wrapText="1"/>
    </xf>
    <xf numFmtId="1" fontId="6" fillId="0" borderId="8" xfId="0" applyNumberFormat="1" applyFont="1" applyFill="1" applyBorder="1" applyAlignment="1">
      <alignment horizontal="right" vertical="center"/>
    </xf>
    <xf numFmtId="2" fontId="13" fillId="0" borderId="41" xfId="6" applyNumberFormat="1" applyFont="1" applyFill="1" applyBorder="1" applyAlignment="1">
      <alignment horizontal="right" vertical="center"/>
    </xf>
    <xf numFmtId="0" fontId="6" fillId="0" borderId="32" xfId="0" applyFont="1" applyBorder="1" applyAlignment="1">
      <alignment horizontal="left" vertical="center"/>
    </xf>
    <xf numFmtId="1" fontId="13" fillId="0" borderId="32" xfId="3" applyNumberFormat="1" applyFont="1" applyFill="1" applyBorder="1" applyAlignment="1">
      <alignment horizontal="right" vertical="center"/>
    </xf>
    <xf numFmtId="9" fontId="6" fillId="0" borderId="58" xfId="1" applyFont="1" applyFill="1" applyBorder="1" applyAlignment="1">
      <alignment horizontal="right" vertical="center" wrapText="1"/>
    </xf>
    <xf numFmtId="0" fontId="9" fillId="17" borderId="12" xfId="0" applyFont="1" applyFill="1" applyBorder="1" applyAlignment="1">
      <alignment horizontal="left" vertical="center" wrapText="1"/>
    </xf>
    <xf numFmtId="49" fontId="13" fillId="17" borderId="13" xfId="3" applyNumberFormat="1" applyFont="1" applyFill="1" applyBorder="1" applyAlignment="1">
      <alignment horizontal="left" vertical="center"/>
    </xf>
    <xf numFmtId="2" fontId="17" fillId="17" borderId="13" xfId="3" applyNumberFormat="1" applyFont="1" applyFill="1" applyBorder="1" applyAlignment="1">
      <alignment horizontal="right" vertical="center"/>
    </xf>
    <xf numFmtId="0" fontId="6" fillId="0" borderId="24" xfId="0" applyFont="1" applyFill="1" applyBorder="1" applyAlignment="1">
      <alignment vertical="center" wrapText="1"/>
    </xf>
    <xf numFmtId="0" fontId="6" fillId="0" borderId="41" xfId="0" applyFont="1" applyFill="1" applyBorder="1" applyAlignment="1">
      <alignment vertical="center" wrapText="1"/>
    </xf>
    <xf numFmtId="0" fontId="6" fillId="0" borderId="24" xfId="0" applyFont="1" applyBorder="1" applyAlignment="1">
      <alignment vertical="center"/>
    </xf>
    <xf numFmtId="0" fontId="6" fillId="0" borderId="41" xfId="0" applyFont="1" applyBorder="1" applyAlignment="1">
      <alignment vertical="center"/>
    </xf>
    <xf numFmtId="49" fontId="13" fillId="0" borderId="24" xfId="3" applyNumberFormat="1" applyFont="1" applyFill="1" applyBorder="1" applyAlignment="1">
      <alignment vertical="center"/>
    </xf>
    <xf numFmtId="2" fontId="13" fillId="0" borderId="5" xfId="3" applyNumberFormat="1" applyFont="1" applyFill="1" applyBorder="1" applyAlignment="1">
      <alignment vertical="center"/>
    </xf>
    <xf numFmtId="164" fontId="13" fillId="0" borderId="54" xfId="3" applyNumberFormat="1" applyFont="1" applyFill="1" applyBorder="1" applyAlignment="1">
      <alignment vertical="top" wrapText="1"/>
    </xf>
    <xf numFmtId="0" fontId="14" fillId="0" borderId="54" xfId="0" applyFont="1" applyFill="1" applyBorder="1" applyAlignment="1">
      <alignment horizontal="left" vertical="center" wrapText="1"/>
    </xf>
    <xf numFmtId="49" fontId="20" fillId="0" borderId="54" xfId="3" applyNumberFormat="1" applyFont="1" applyBorder="1" applyAlignment="1">
      <alignment vertical="center" wrapText="1"/>
    </xf>
    <xf numFmtId="0" fontId="20" fillId="0" borderId="58" xfId="0" applyFont="1" applyBorder="1" applyAlignment="1">
      <alignment vertical="center"/>
    </xf>
    <xf numFmtId="1" fontId="13" fillId="0" borderId="29" xfId="0" applyNumberFormat="1" applyFont="1" applyFill="1" applyBorder="1" applyAlignment="1">
      <alignment horizontal="left" vertical="top" wrapText="1"/>
    </xf>
    <xf numFmtId="164" fontId="13" fillId="0" borderId="44" xfId="0" applyNumberFormat="1" applyFont="1" applyFill="1" applyBorder="1" applyAlignment="1">
      <alignment horizontal="left" vertical="center" wrapText="1"/>
    </xf>
    <xf numFmtId="0" fontId="6" fillId="0" borderId="0" xfId="0" applyFont="1" applyBorder="1"/>
    <xf numFmtId="1" fontId="6" fillId="0" borderId="0" xfId="0" applyNumberFormat="1" applyFont="1" applyFill="1" applyBorder="1" applyAlignment="1">
      <alignment horizontal="right" vertical="center"/>
    </xf>
    <xf numFmtId="0" fontId="12" fillId="4" borderId="14" xfId="0" applyFont="1" applyFill="1" applyBorder="1" applyAlignment="1">
      <alignment horizontal="left" vertical="center" wrapText="1"/>
    </xf>
    <xf numFmtId="0" fontId="6" fillId="4" borderId="12" xfId="0" applyFont="1" applyFill="1" applyBorder="1" applyAlignment="1">
      <alignment horizontal="left" vertical="center"/>
    </xf>
    <xf numFmtId="2" fontId="9" fillId="4" borderId="13" xfId="0" applyNumberFormat="1" applyFont="1" applyFill="1" applyBorder="1" applyAlignment="1">
      <alignment horizontal="right" vertical="center"/>
    </xf>
    <xf numFmtId="0" fontId="2" fillId="0" borderId="62" xfId="0" applyFont="1" applyFill="1" applyBorder="1" applyAlignment="1">
      <alignment horizontal="left" vertical="top" wrapText="1"/>
    </xf>
    <xf numFmtId="0" fontId="6" fillId="0" borderId="10" xfId="0" applyFont="1" applyFill="1" applyBorder="1" applyAlignment="1">
      <alignment horizontal="left" vertical="center" wrapText="1"/>
    </xf>
    <xf numFmtId="2" fontId="6" fillId="0" borderId="9" xfId="0" applyNumberFormat="1" applyFont="1" applyFill="1" applyBorder="1" applyAlignment="1">
      <alignment horizontal="right" vertical="center"/>
    </xf>
    <xf numFmtId="1" fontId="13" fillId="0" borderId="10" xfId="3" applyNumberFormat="1" applyFont="1" applyFill="1" applyBorder="1" applyAlignment="1">
      <alignment horizontal="right" vertical="center"/>
    </xf>
    <xf numFmtId="49" fontId="13" fillId="0" borderId="33" xfId="3" applyNumberFormat="1" applyFont="1" applyFill="1" applyBorder="1" applyAlignment="1">
      <alignment horizontal="left" vertical="center"/>
    </xf>
    <xf numFmtId="2" fontId="13" fillId="0" borderId="46" xfId="3" applyNumberFormat="1" applyFont="1" applyFill="1" applyBorder="1" applyAlignment="1">
      <alignment horizontal="right" vertical="center"/>
    </xf>
    <xf numFmtId="0" fontId="6" fillId="0" borderId="8" xfId="0" applyFont="1" applyBorder="1" applyAlignment="1">
      <alignment vertical="center"/>
    </xf>
    <xf numFmtId="0" fontId="6" fillId="0" borderId="8" xfId="0" applyFont="1" applyFill="1" applyBorder="1" applyAlignment="1">
      <alignment vertical="center" wrapText="1"/>
    </xf>
    <xf numFmtId="0" fontId="6" fillId="0" borderId="9" xfId="0" applyFont="1" applyFill="1" applyBorder="1" applyAlignment="1">
      <alignment horizontal="left" vertical="center"/>
    </xf>
    <xf numFmtId="1" fontId="13" fillId="0" borderId="47" xfId="3" applyNumberFormat="1" applyFont="1" applyFill="1" applyBorder="1" applyAlignment="1">
      <alignment vertical="center" wrapText="1"/>
    </xf>
    <xf numFmtId="0" fontId="13" fillId="0" borderId="48" xfId="0" applyFont="1" applyFill="1" applyBorder="1" applyAlignment="1">
      <alignment horizontal="right" vertical="center" wrapText="1"/>
    </xf>
    <xf numFmtId="49" fontId="13" fillId="0" borderId="32" xfId="3" applyNumberFormat="1" applyFont="1" applyFill="1" applyBorder="1" applyAlignment="1">
      <alignment vertical="center"/>
    </xf>
    <xf numFmtId="2" fontId="13" fillId="0" borderId="32" xfId="3" applyNumberFormat="1" applyFont="1" applyFill="1" applyBorder="1" applyAlignment="1">
      <alignment vertical="center"/>
    </xf>
    <xf numFmtId="0" fontId="13" fillId="0" borderId="57" xfId="0" applyFont="1" applyFill="1" applyBorder="1" applyAlignment="1">
      <alignment vertical="center" wrapText="1"/>
    </xf>
    <xf numFmtId="0" fontId="6" fillId="0" borderId="18" xfId="0" applyFont="1" applyFill="1" applyBorder="1" applyAlignment="1">
      <alignment horizontal="left" vertical="center"/>
    </xf>
    <xf numFmtId="0" fontId="6" fillId="0" borderId="32" xfId="0" applyFont="1" applyBorder="1" applyAlignment="1">
      <alignment horizontal="left" vertical="center" wrapText="1"/>
    </xf>
    <xf numFmtId="2" fontId="13" fillId="0" borderId="50" xfId="3" applyNumberFormat="1" applyFont="1" applyFill="1" applyBorder="1" applyAlignment="1">
      <alignment horizontal="right" vertical="center"/>
    </xf>
    <xf numFmtId="0" fontId="13" fillId="0" borderId="29" xfId="0" applyFont="1" applyFill="1" applyBorder="1" applyAlignment="1">
      <alignment horizontal="left" vertical="top"/>
    </xf>
    <xf numFmtId="0" fontId="13" fillId="0" borderId="43" xfId="0" applyFont="1" applyFill="1" applyBorder="1" applyAlignment="1">
      <alignment horizontal="left" vertical="center"/>
    </xf>
    <xf numFmtId="0" fontId="13" fillId="0" borderId="55" xfId="0" applyFont="1" applyFill="1" applyBorder="1" applyAlignment="1">
      <alignment horizontal="left" vertical="center"/>
    </xf>
    <xf numFmtId="0" fontId="0" fillId="0" borderId="0" xfId="0" applyFill="1" applyBorder="1" applyAlignment="1">
      <alignment horizontal="left" vertical="top" wrapText="1"/>
    </xf>
    <xf numFmtId="0" fontId="6" fillId="0" borderId="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59" xfId="0" applyFont="1" applyFill="1" applyBorder="1" applyAlignment="1">
      <alignment horizontal="left" vertical="center" wrapText="1"/>
    </xf>
    <xf numFmtId="0" fontId="6" fillId="0" borderId="47" xfId="0" applyFont="1" applyFill="1" applyBorder="1" applyAlignment="1">
      <alignment horizontal="left" vertical="center" wrapText="1"/>
    </xf>
    <xf numFmtId="9" fontId="6" fillId="0" borderId="60" xfId="1" applyFont="1" applyFill="1" applyBorder="1" applyAlignment="1">
      <alignment horizontal="right" vertical="center" wrapText="1"/>
    </xf>
    <xf numFmtId="9" fontId="6" fillId="0" borderId="48" xfId="1" applyFont="1" applyFill="1" applyBorder="1" applyAlignment="1">
      <alignment horizontal="right" vertical="center" wrapText="1"/>
    </xf>
    <xf numFmtId="0" fontId="6" fillId="0" borderId="61"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44" xfId="1" applyNumberFormat="1" applyFont="1" applyFill="1" applyBorder="1" applyAlignment="1">
      <alignment horizontal="right" vertical="center" wrapText="1"/>
    </xf>
    <xf numFmtId="0" fontId="6" fillId="0" borderId="56" xfId="1" applyNumberFormat="1" applyFont="1" applyFill="1" applyBorder="1" applyAlignment="1">
      <alignment horizontal="right" vertical="center" wrapText="1"/>
    </xf>
    <xf numFmtId="0" fontId="6" fillId="0" borderId="45"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63" xfId="0" applyFont="1" applyFill="1" applyBorder="1" applyAlignment="1">
      <alignment horizontal="left" vertical="center" wrapText="1"/>
    </xf>
    <xf numFmtId="2" fontId="13" fillId="0" borderId="24" xfId="3" applyNumberFormat="1" applyFont="1" applyFill="1" applyBorder="1" applyAlignment="1">
      <alignment horizontal="right" vertical="center"/>
    </xf>
    <xf numFmtId="2" fontId="13" fillId="0" borderId="5" xfId="3" applyNumberFormat="1" applyFont="1" applyFill="1" applyBorder="1" applyAlignment="1">
      <alignment horizontal="right" vertical="center"/>
    </xf>
    <xf numFmtId="2" fontId="13" fillId="0" borderId="41" xfId="3" applyNumberFormat="1" applyFont="1" applyFill="1" applyBorder="1" applyAlignment="1">
      <alignment horizontal="right" vertical="center"/>
    </xf>
    <xf numFmtId="0" fontId="13" fillId="0" borderId="44" xfId="0" applyFont="1" applyFill="1" applyBorder="1" applyAlignment="1">
      <alignment horizontal="right" vertical="center" wrapText="1"/>
    </xf>
    <xf numFmtId="0" fontId="13" fillId="0" borderId="56" xfId="0" applyFont="1" applyFill="1" applyBorder="1" applyAlignment="1">
      <alignment horizontal="right" vertical="center" wrapText="1"/>
    </xf>
    <xf numFmtId="0" fontId="6" fillId="0" borderId="24" xfId="0" applyFont="1" applyBorder="1" applyAlignment="1">
      <alignment horizontal="left" vertical="center"/>
    </xf>
    <xf numFmtId="0" fontId="6" fillId="0" borderId="41" xfId="0" applyFont="1" applyBorder="1" applyAlignment="1">
      <alignment horizontal="left" vertical="center"/>
    </xf>
    <xf numFmtId="0" fontId="6" fillId="0" borderId="24" xfId="0" applyFont="1" applyFill="1" applyBorder="1" applyAlignment="1">
      <alignment horizontal="left" vertical="center" wrapText="1"/>
    </xf>
    <xf numFmtId="0" fontId="6" fillId="0" borderId="41" xfId="0" applyFont="1" applyFill="1" applyBorder="1" applyAlignment="1">
      <alignment horizontal="left" vertical="center" wrapText="1"/>
    </xf>
    <xf numFmtId="2" fontId="13" fillId="0" borderId="24" xfId="6" applyNumberFormat="1" applyFont="1" applyFill="1" applyBorder="1" applyAlignment="1">
      <alignment horizontal="right" vertical="center"/>
    </xf>
    <xf numFmtId="2" fontId="13" fillId="0" borderId="41" xfId="6" applyNumberFormat="1" applyFont="1" applyFill="1" applyBorder="1" applyAlignment="1">
      <alignment horizontal="right" vertical="center"/>
    </xf>
    <xf numFmtId="0" fontId="6" fillId="0" borderId="15" xfId="0" applyFont="1" applyBorder="1" applyAlignment="1">
      <alignment horizontal="left" vertical="center" wrapText="1"/>
    </xf>
    <xf numFmtId="0" fontId="6" fillId="0" borderId="32" xfId="0" applyFont="1" applyBorder="1" applyAlignment="1">
      <alignment horizontal="left" vertical="center"/>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1"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24" xfId="0" applyFont="1" applyBorder="1" applyAlignment="1">
      <alignment horizontal="left" vertical="top" wrapText="1"/>
    </xf>
    <xf numFmtId="0" fontId="6" fillId="0" borderId="41" xfId="0" applyFont="1" applyBorder="1" applyAlignment="1">
      <alignment horizontal="left" vertical="top" wrapText="1"/>
    </xf>
    <xf numFmtId="0" fontId="6" fillId="0" borderId="8" xfId="0" applyFont="1" applyBorder="1" applyAlignment="1">
      <alignment horizontal="left" vertical="center"/>
    </xf>
    <xf numFmtId="0" fontId="13" fillId="11" borderId="16" xfId="0" applyFont="1" applyFill="1" applyBorder="1" applyAlignment="1">
      <alignment horizontal="left" vertical="center" wrapText="1"/>
    </xf>
    <xf numFmtId="0" fontId="6" fillId="11" borderId="14" xfId="0" applyFont="1" applyFill="1" applyBorder="1" applyAlignment="1">
      <alignment horizontal="left" vertical="center"/>
    </xf>
    <xf numFmtId="0" fontId="6" fillId="11" borderId="13" xfId="0" applyFont="1" applyFill="1" applyBorder="1" applyAlignment="1">
      <alignment horizontal="left" vertical="center"/>
    </xf>
    <xf numFmtId="0" fontId="6" fillId="0" borderId="45" xfId="0" applyFont="1" applyFill="1" applyBorder="1" applyAlignment="1">
      <alignment horizontal="left" vertical="top" wrapText="1"/>
    </xf>
    <xf numFmtId="0" fontId="6" fillId="0" borderId="63" xfId="0" applyFont="1" applyFill="1" applyBorder="1" applyAlignment="1">
      <alignment horizontal="left" vertical="top"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49" fontId="13" fillId="0" borderId="24" xfId="3" applyNumberFormat="1" applyFont="1" applyFill="1" applyBorder="1" applyAlignment="1">
      <alignment horizontal="left" vertical="center"/>
    </xf>
    <xf numFmtId="49" fontId="13" fillId="0" borderId="41" xfId="3" applyNumberFormat="1" applyFont="1" applyFill="1" applyBorder="1" applyAlignment="1">
      <alignment horizontal="left" vertical="center"/>
    </xf>
    <xf numFmtId="49" fontId="13" fillId="0" borderId="1" xfId="3" applyNumberFormat="1" applyFont="1" applyFill="1" applyBorder="1" applyAlignment="1">
      <alignment horizontal="left" vertical="center"/>
    </xf>
    <xf numFmtId="49" fontId="13" fillId="0" borderId="8" xfId="3" applyNumberFormat="1" applyFont="1" applyFill="1" applyBorder="1" applyAlignment="1">
      <alignment horizontal="left" vertical="center"/>
    </xf>
    <xf numFmtId="2" fontId="13" fillId="0" borderId="1" xfId="3" applyNumberFormat="1" applyFont="1" applyFill="1" applyBorder="1" applyAlignment="1">
      <alignment horizontal="right" vertical="center"/>
    </xf>
    <xf numFmtId="2" fontId="13" fillId="0" borderId="8" xfId="3" applyNumberFormat="1" applyFont="1" applyFill="1" applyBorder="1" applyAlignment="1">
      <alignment horizontal="right" vertical="center"/>
    </xf>
    <xf numFmtId="1" fontId="6" fillId="0" borderId="1" xfId="0" applyNumberFormat="1" applyFont="1" applyFill="1" applyBorder="1" applyAlignment="1">
      <alignment horizontal="right" vertical="center"/>
    </xf>
    <xf numFmtId="1" fontId="6" fillId="0" borderId="8" xfId="0" applyNumberFormat="1" applyFont="1" applyFill="1" applyBorder="1" applyAlignment="1">
      <alignment horizontal="right" vertical="center"/>
    </xf>
    <xf numFmtId="49" fontId="13" fillId="0" borderId="24" xfId="3" applyNumberFormat="1" applyFont="1" applyFill="1" applyBorder="1" applyAlignment="1">
      <alignment horizontal="left" vertical="top"/>
    </xf>
    <xf numFmtId="49" fontId="13" fillId="0" borderId="5" xfId="3" applyNumberFormat="1" applyFont="1" applyFill="1" applyBorder="1" applyAlignment="1">
      <alignment horizontal="left" vertical="top"/>
    </xf>
    <xf numFmtId="49" fontId="13" fillId="0" borderId="41" xfId="3" applyNumberFormat="1" applyFont="1" applyFill="1" applyBorder="1" applyAlignment="1">
      <alignment horizontal="left" vertical="top"/>
    </xf>
    <xf numFmtId="2" fontId="13" fillId="0" borderId="24" xfId="3" applyNumberFormat="1" applyFont="1" applyFill="1" applyBorder="1" applyAlignment="1">
      <alignment horizontal="right" vertical="top"/>
    </xf>
    <xf numFmtId="2" fontId="13" fillId="0" borderId="5" xfId="3" applyNumberFormat="1" applyFont="1" applyFill="1" applyBorder="1" applyAlignment="1">
      <alignment horizontal="right" vertical="top"/>
    </xf>
    <xf numFmtId="2" fontId="13" fillId="0" borderId="41" xfId="3" applyNumberFormat="1" applyFont="1" applyFill="1" applyBorder="1" applyAlignment="1">
      <alignment horizontal="right" vertical="top"/>
    </xf>
    <xf numFmtId="2" fontId="6" fillId="0" borderId="24" xfId="0" applyNumberFormat="1" applyFont="1" applyFill="1" applyBorder="1" applyAlignment="1">
      <alignment horizontal="right" vertical="top"/>
    </xf>
    <xf numFmtId="2" fontId="6" fillId="0" borderId="5" xfId="0" applyNumberFormat="1" applyFont="1" applyFill="1" applyBorder="1" applyAlignment="1">
      <alignment horizontal="right" vertical="top"/>
    </xf>
    <xf numFmtId="2" fontId="6" fillId="0" borderId="41" xfId="0" applyNumberFormat="1" applyFont="1" applyFill="1" applyBorder="1" applyAlignment="1">
      <alignment horizontal="right" vertical="top"/>
    </xf>
    <xf numFmtId="0" fontId="6" fillId="0" borderId="5" xfId="0" applyFont="1" applyFill="1" applyBorder="1" applyAlignment="1">
      <alignment horizontal="left" vertical="center" wrapText="1"/>
    </xf>
    <xf numFmtId="0" fontId="13" fillId="8" borderId="16"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6" fillId="0" borderId="24" xfId="0" applyFont="1" applyFill="1" applyBorder="1" applyAlignment="1">
      <alignment horizontal="left" vertical="top" wrapText="1"/>
    </xf>
    <xf numFmtId="49" fontId="13" fillId="0" borderId="5" xfId="3" applyNumberFormat="1" applyFont="1" applyFill="1" applyBorder="1" applyAlignment="1">
      <alignment horizontal="left" vertical="center"/>
    </xf>
    <xf numFmtId="0" fontId="6" fillId="0" borderId="5" xfId="0" applyFont="1" applyBorder="1" applyAlignment="1">
      <alignment horizontal="left" vertical="center" wrapText="1"/>
    </xf>
    <xf numFmtId="0" fontId="6" fillId="0" borderId="8" xfId="0" applyFont="1" applyFill="1" applyBorder="1" applyAlignment="1">
      <alignment horizontal="left" vertical="center"/>
    </xf>
    <xf numFmtId="0" fontId="6" fillId="0" borderId="17" xfId="0" applyFont="1" applyBorder="1" applyAlignment="1">
      <alignment horizontal="left" vertical="center"/>
    </xf>
    <xf numFmtId="0" fontId="6" fillId="16" borderId="14" xfId="0" applyFont="1" applyFill="1" applyBorder="1" applyAlignment="1">
      <alignment horizontal="left" vertical="center" wrapText="1"/>
    </xf>
    <xf numFmtId="0" fontId="6" fillId="16" borderId="13"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55" xfId="0" applyFont="1" applyFill="1" applyBorder="1" applyAlignment="1">
      <alignment horizontal="left" vertical="center" wrapText="1"/>
    </xf>
    <xf numFmtId="1" fontId="6" fillId="0" borderId="44" xfId="0" applyNumberFormat="1" applyFont="1" applyFill="1" applyBorder="1" applyAlignment="1">
      <alignment horizontal="right" vertical="center" wrapText="1"/>
    </xf>
    <xf numFmtId="1" fontId="6" fillId="0" borderId="56" xfId="0" applyNumberFormat="1" applyFont="1" applyFill="1" applyBorder="1" applyAlignment="1">
      <alignment horizontal="right" vertical="center" wrapText="1"/>
    </xf>
    <xf numFmtId="0" fontId="6" fillId="0" borderId="42" xfId="0" applyFont="1" applyFill="1" applyBorder="1" applyAlignment="1">
      <alignment horizontal="left" vertical="center" wrapText="1"/>
    </xf>
    <xf numFmtId="0" fontId="6" fillId="0" borderId="22" xfId="0" applyFont="1" applyFill="1" applyBorder="1" applyAlignment="1">
      <alignment horizontal="left" vertical="center" wrapText="1"/>
    </xf>
    <xf numFmtId="2" fontId="6" fillId="0" borderId="41" xfId="0" applyNumberFormat="1" applyFont="1" applyFill="1" applyBorder="1" applyAlignment="1">
      <alignment horizontal="right" vertical="center"/>
    </xf>
    <xf numFmtId="2" fontId="6" fillId="0" borderId="17" xfId="0" applyNumberFormat="1" applyFont="1" applyFill="1" applyBorder="1" applyAlignment="1">
      <alignment horizontal="right" vertical="center"/>
    </xf>
    <xf numFmtId="2" fontId="6" fillId="0" borderId="24" xfId="0" applyNumberFormat="1" applyFont="1" applyFill="1" applyBorder="1" applyAlignment="1">
      <alignment horizontal="right" vertical="center"/>
    </xf>
    <xf numFmtId="164" fontId="6" fillId="0" borderId="17" xfId="0" applyNumberFormat="1" applyFont="1" applyFill="1" applyBorder="1" applyAlignment="1">
      <alignment horizontal="right" vertical="center"/>
    </xf>
    <xf numFmtId="164" fontId="6" fillId="0" borderId="41" xfId="0" applyNumberFormat="1" applyFont="1" applyFill="1" applyBorder="1" applyAlignment="1">
      <alignment horizontal="right" vertical="center"/>
    </xf>
    <xf numFmtId="0" fontId="13" fillId="5" borderId="16" xfId="5"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13" xfId="0" applyFont="1" applyFill="1" applyBorder="1" applyAlignment="1">
      <alignment horizontal="left" vertical="center" wrapText="1"/>
    </xf>
    <xf numFmtId="49" fontId="13" fillId="12" borderId="16" xfId="0" applyNumberFormat="1" applyFont="1" applyFill="1" applyBorder="1" applyAlignment="1">
      <alignment horizontal="left" vertical="center" wrapText="1"/>
    </xf>
    <xf numFmtId="0" fontId="6" fillId="12" borderId="14" xfId="0" applyFont="1" applyFill="1" applyBorder="1" applyAlignment="1">
      <alignment horizontal="left" vertical="center" wrapText="1"/>
    </xf>
    <xf numFmtId="0" fontId="6" fillId="12" borderId="13" xfId="0" applyFont="1" applyFill="1" applyBorder="1" applyAlignment="1">
      <alignment horizontal="left" vertical="center" wrapText="1"/>
    </xf>
    <xf numFmtId="0" fontId="6" fillId="0" borderId="44" xfId="0" applyFont="1" applyFill="1" applyBorder="1" applyAlignment="1">
      <alignment horizontal="right" vertical="center" wrapText="1"/>
    </xf>
    <xf numFmtId="0" fontId="6" fillId="0" borderId="56" xfId="0" applyFont="1" applyFill="1" applyBorder="1" applyAlignment="1">
      <alignment horizontal="right" vertical="center" wrapText="1"/>
    </xf>
    <xf numFmtId="0" fontId="6" fillId="0" borderId="28"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17" xfId="0" applyFont="1" applyBorder="1" applyAlignment="1">
      <alignment horizontal="left" vertical="center" wrapText="1"/>
    </xf>
    <xf numFmtId="2" fontId="6" fillId="0" borderId="4" xfId="0" applyNumberFormat="1" applyFont="1" applyFill="1" applyBorder="1" applyAlignment="1">
      <alignment horizontal="right" vertical="center"/>
    </xf>
    <xf numFmtId="2" fontId="6" fillId="0" borderId="7" xfId="0" applyNumberFormat="1" applyFont="1" applyFill="1" applyBorder="1" applyAlignment="1">
      <alignment horizontal="right" vertical="center"/>
    </xf>
    <xf numFmtId="2" fontId="6" fillId="0" borderId="11" xfId="0" applyNumberFormat="1" applyFont="1" applyFill="1" applyBorder="1" applyAlignment="1">
      <alignment horizontal="right" vertical="center"/>
    </xf>
    <xf numFmtId="2" fontId="6" fillId="0" borderId="5" xfId="0" applyNumberFormat="1" applyFont="1" applyFill="1" applyBorder="1" applyAlignment="1">
      <alignment horizontal="right" vertical="center"/>
    </xf>
    <xf numFmtId="0" fontId="6" fillId="0" borderId="31" xfId="0" applyFont="1" applyFill="1" applyBorder="1" applyAlignment="1">
      <alignment horizontal="left" vertical="center" wrapText="1"/>
    </xf>
    <xf numFmtId="0" fontId="6" fillId="0" borderId="5" xfId="0" applyFont="1" applyFill="1" applyBorder="1" applyAlignment="1">
      <alignment horizontal="left" vertical="center"/>
    </xf>
    <xf numFmtId="2" fontId="6" fillId="0" borderId="8" xfId="0" applyNumberFormat="1" applyFont="1" applyFill="1" applyBorder="1" applyAlignment="1">
      <alignment horizontal="right" vertical="center"/>
    </xf>
    <xf numFmtId="0" fontId="13" fillId="21" borderId="16" xfId="0" applyFont="1" applyFill="1" applyBorder="1" applyAlignment="1">
      <alignment horizontal="left" vertical="center" wrapText="1"/>
    </xf>
    <xf numFmtId="0" fontId="6" fillId="21" borderId="14" xfId="0" applyFont="1" applyFill="1" applyBorder="1" applyAlignment="1">
      <alignment horizontal="left" vertical="center"/>
    </xf>
    <xf numFmtId="0" fontId="6" fillId="21" borderId="13" xfId="0" applyFont="1" applyFill="1" applyBorder="1" applyAlignment="1">
      <alignment horizontal="left" vertical="center"/>
    </xf>
    <xf numFmtId="0" fontId="6" fillId="0" borderId="32" xfId="0" applyFont="1" applyBorder="1" applyAlignment="1">
      <alignment horizontal="left" vertical="center" wrapText="1"/>
    </xf>
    <xf numFmtId="0" fontId="6" fillId="0" borderId="22" xfId="0" applyFont="1" applyBorder="1" applyAlignment="1">
      <alignment horizontal="left" vertical="center" wrapText="1"/>
    </xf>
    <xf numFmtId="0" fontId="6" fillId="0" borderId="17" xfId="0" applyFont="1" applyFill="1" applyBorder="1" applyAlignment="1">
      <alignment horizontal="left" vertical="center" wrapText="1"/>
    </xf>
    <xf numFmtId="0" fontId="13" fillId="4" borderId="16" xfId="2"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3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8" xfId="0" applyFont="1" applyFill="1" applyBorder="1" applyAlignment="1">
      <alignment horizontal="left" vertical="center" wrapText="1"/>
    </xf>
    <xf numFmtId="2" fontId="9" fillId="6" borderId="2" xfId="0" applyNumberFormat="1" applyFont="1" applyFill="1" applyBorder="1" applyAlignment="1">
      <alignment horizontal="right" vertical="center" wrapText="1"/>
    </xf>
    <xf numFmtId="0" fontId="9" fillId="6" borderId="6" xfId="0" applyFont="1" applyFill="1" applyBorder="1" applyAlignment="1">
      <alignment horizontal="right" vertical="center" wrapText="1"/>
    </xf>
    <xf numFmtId="0" fontId="9" fillId="6" borderId="9" xfId="0" applyFont="1" applyFill="1" applyBorder="1" applyAlignment="1">
      <alignment horizontal="right" vertical="center" wrapText="1"/>
    </xf>
    <xf numFmtId="0" fontId="6" fillId="0" borderId="26" xfId="0" applyFont="1" applyFill="1" applyBorder="1" applyAlignment="1">
      <alignment horizontal="left" vertical="center" wrapText="1"/>
    </xf>
    <xf numFmtId="0" fontId="6" fillId="0" borderId="29" xfId="0" applyFont="1" applyFill="1" applyBorder="1" applyAlignment="1">
      <alignment horizontal="left" vertical="center" wrapText="1"/>
    </xf>
    <xf numFmtId="49" fontId="13" fillId="4" borderId="16" xfId="0" applyNumberFormat="1" applyFont="1" applyFill="1" applyBorder="1" applyAlignment="1">
      <alignment horizontal="left" vertical="center" wrapText="1"/>
    </xf>
    <xf numFmtId="0" fontId="9" fillId="6" borderId="18" xfId="0" applyFont="1" applyFill="1" applyBorder="1" applyAlignment="1">
      <alignment horizontal="left" vertical="center" wrapText="1"/>
    </xf>
    <xf numFmtId="0" fontId="6" fillId="6" borderId="21" xfId="0" applyFont="1" applyFill="1" applyBorder="1" applyAlignment="1">
      <alignment horizontal="left" vertical="center" wrapText="1"/>
    </xf>
    <xf numFmtId="0" fontId="6" fillId="6" borderId="33" xfId="0" applyFont="1" applyFill="1" applyBorder="1" applyAlignment="1">
      <alignment horizontal="left" vertical="center" wrapText="1"/>
    </xf>
    <xf numFmtId="2" fontId="9" fillId="6" borderId="18" xfId="0" applyNumberFormat="1" applyFont="1" applyFill="1" applyBorder="1" applyAlignment="1">
      <alignment horizontal="right" vertical="center" wrapText="1"/>
    </xf>
    <xf numFmtId="0" fontId="9" fillId="6" borderId="21" xfId="0" applyFont="1" applyFill="1" applyBorder="1" applyAlignment="1">
      <alignment horizontal="right" vertical="center" wrapText="1"/>
    </xf>
    <xf numFmtId="0" fontId="9" fillId="6" borderId="33" xfId="0" applyFont="1" applyFill="1" applyBorder="1" applyAlignment="1">
      <alignment horizontal="right" vertical="center" wrapText="1"/>
    </xf>
    <xf numFmtId="49" fontId="13" fillId="6" borderId="4" xfId="0" applyNumberFormat="1"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7"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0" borderId="32" xfId="0" applyFont="1" applyFill="1" applyBorder="1" applyAlignment="1">
      <alignment horizontal="left" vertical="center" wrapText="1"/>
    </xf>
    <xf numFmtId="49" fontId="13" fillId="6" borderId="4" xfId="2" applyNumberFormat="1"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27" xfId="0" applyFont="1" applyFill="1" applyBorder="1" applyAlignment="1">
      <alignment horizontal="right" vertical="center" wrapText="1"/>
    </xf>
    <xf numFmtId="0" fontId="6" fillId="0" borderId="30" xfId="0" applyFont="1" applyFill="1" applyBorder="1" applyAlignment="1">
      <alignment horizontal="right" vertical="center" wrapText="1"/>
    </xf>
    <xf numFmtId="0" fontId="6" fillId="0" borderId="35" xfId="0" applyFont="1" applyFill="1" applyBorder="1" applyAlignment="1">
      <alignment horizontal="right" vertical="center" wrapText="1"/>
    </xf>
    <xf numFmtId="0" fontId="10" fillId="2" borderId="14" xfId="0" applyFont="1" applyFill="1" applyBorder="1" applyAlignment="1">
      <alignment horizontal="left" vertical="top" wrapText="1"/>
    </xf>
    <xf numFmtId="0" fontId="10" fillId="2" borderId="13" xfId="0" applyFont="1" applyFill="1" applyBorder="1" applyAlignment="1">
      <alignment horizontal="left" vertical="top" wrapText="1"/>
    </xf>
    <xf numFmtId="0" fontId="9" fillId="14" borderId="16" xfId="0" applyFont="1" applyFill="1" applyBorder="1" applyAlignment="1">
      <alignment horizontal="left" vertical="center" wrapText="1"/>
    </xf>
    <xf numFmtId="0" fontId="6" fillId="14" borderId="14" xfId="0" applyFont="1" applyFill="1" applyBorder="1" applyAlignment="1">
      <alignment horizontal="left" vertical="center" wrapText="1"/>
    </xf>
    <xf numFmtId="0" fontId="6" fillId="14" borderId="13" xfId="0" applyFont="1" applyFill="1" applyBorder="1" applyAlignment="1">
      <alignment horizontal="left" vertical="center" wrapText="1"/>
    </xf>
    <xf numFmtId="49" fontId="13" fillId="3" borderId="16" xfId="0" applyNumberFormat="1"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3" xfId="0" applyFont="1" applyFill="1" applyBorder="1" applyAlignment="1">
      <alignment horizontal="left" vertical="center" wrapText="1"/>
    </xf>
    <xf numFmtId="49" fontId="13" fillId="4" borderId="16" xfId="2" applyNumberFormat="1"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6" borderId="8" xfId="0" applyFont="1" applyFill="1" applyBorder="1" applyAlignment="1">
      <alignment horizontal="left" vertical="center" wrapText="1"/>
    </xf>
    <xf numFmtId="2" fontId="9" fillId="6" borderId="1" xfId="0" applyNumberFormat="1" applyFont="1" applyFill="1" applyBorder="1" applyAlignment="1">
      <alignment horizontal="right" vertical="center" wrapText="1"/>
    </xf>
    <xf numFmtId="2" fontId="9" fillId="6" borderId="5" xfId="0" applyNumberFormat="1" applyFont="1" applyFill="1" applyBorder="1" applyAlignment="1">
      <alignment horizontal="right" vertical="center" wrapText="1"/>
    </xf>
    <xf numFmtId="2" fontId="9" fillId="6" borderId="8" xfId="0" applyNumberFormat="1" applyFont="1" applyFill="1" applyBorder="1" applyAlignment="1">
      <alignment horizontal="right" vertical="center" wrapText="1"/>
    </xf>
    <xf numFmtId="49" fontId="13" fillId="6" borderId="4" xfId="3" applyNumberFormat="1" applyFont="1" applyFill="1" applyBorder="1" applyAlignment="1">
      <alignment horizontal="left" vertical="center" wrapText="1"/>
    </xf>
    <xf numFmtId="0" fontId="6" fillId="6" borderId="3" xfId="0" applyFont="1" applyFill="1" applyBorder="1" applyAlignment="1">
      <alignment horizontal="left" vertical="center"/>
    </xf>
    <xf numFmtId="0" fontId="6" fillId="6" borderId="2" xfId="0" applyFont="1" applyFill="1" applyBorder="1" applyAlignment="1">
      <alignment horizontal="left" vertical="center"/>
    </xf>
    <xf numFmtId="0" fontId="6" fillId="6" borderId="0" xfId="0" applyFont="1" applyFill="1" applyBorder="1" applyAlignment="1">
      <alignment horizontal="left" vertical="center"/>
    </xf>
    <xf numFmtId="0" fontId="6" fillId="6" borderId="6" xfId="0" applyFont="1" applyFill="1" applyBorder="1" applyAlignment="1">
      <alignment horizontal="left" vertical="center"/>
    </xf>
    <xf numFmtId="0" fontId="13" fillId="6" borderId="14" xfId="0" applyFont="1" applyFill="1" applyBorder="1" applyAlignment="1">
      <alignment horizontal="left" vertical="center" wrapText="1"/>
    </xf>
    <xf numFmtId="0" fontId="6" fillId="6" borderId="14"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13" fillId="6" borderId="11"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14" xfId="0" applyFont="1" applyFill="1" applyBorder="1" applyAlignment="1">
      <alignment horizontal="left" vertical="center"/>
    </xf>
    <xf numFmtId="0" fontId="6" fillId="4" borderId="13" xfId="0" applyFont="1" applyFill="1" applyBorder="1" applyAlignment="1">
      <alignment horizontal="left" vertical="center"/>
    </xf>
    <xf numFmtId="0" fontId="6" fillId="0" borderId="41" xfId="0" applyFont="1" applyFill="1" applyBorder="1" applyAlignment="1">
      <alignment horizontal="left" vertical="top" wrapText="1"/>
    </xf>
    <xf numFmtId="0" fontId="6" fillId="0" borderId="5" xfId="0" applyFont="1" applyBorder="1" applyAlignment="1">
      <alignment horizontal="left" vertical="center"/>
    </xf>
    <xf numFmtId="0" fontId="6" fillId="0" borderId="7" xfId="0" applyFont="1" applyFill="1" applyBorder="1" applyAlignment="1">
      <alignment horizontal="left" vertical="center" wrapText="1"/>
    </xf>
    <xf numFmtId="2" fontId="6" fillId="0" borderId="1" xfId="0" applyNumberFormat="1" applyFont="1" applyFill="1" applyBorder="1" applyAlignment="1">
      <alignment horizontal="right" vertical="center"/>
    </xf>
    <xf numFmtId="0" fontId="6" fillId="16" borderId="65" xfId="0" applyFont="1" applyFill="1" applyBorder="1" applyAlignment="1">
      <alignment horizontal="left" vertical="center" wrapText="1"/>
    </xf>
    <xf numFmtId="0" fontId="6" fillId="16" borderId="60" xfId="0" applyFont="1" applyFill="1" applyBorder="1" applyAlignment="1">
      <alignment horizontal="left" vertical="center" wrapText="1"/>
    </xf>
    <xf numFmtId="0" fontId="6" fillId="16" borderId="61"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39" xfId="0" applyFont="1" applyFill="1" applyBorder="1" applyAlignment="1">
      <alignment horizontal="left" vertical="center" wrapText="1"/>
    </xf>
    <xf numFmtId="49" fontId="13" fillId="0" borderId="15" xfId="3" applyNumberFormat="1" applyFont="1" applyFill="1" applyBorder="1" applyAlignment="1">
      <alignment horizontal="left" vertical="center" wrapText="1"/>
    </xf>
    <xf numFmtId="0" fontId="6" fillId="0" borderId="24" xfId="0" applyFont="1" applyFill="1" applyBorder="1" applyAlignment="1">
      <alignment horizontal="left" vertical="center"/>
    </xf>
    <xf numFmtId="2" fontId="13" fillId="0" borderId="1" xfId="3" applyNumberFormat="1" applyFont="1" applyFill="1" applyBorder="1" applyAlignment="1">
      <alignment horizontal="right" vertical="center" wrapText="1"/>
    </xf>
    <xf numFmtId="2" fontId="13" fillId="0" borderId="41" xfId="3" applyNumberFormat="1" applyFont="1" applyFill="1" applyBorder="1" applyAlignment="1">
      <alignment horizontal="right" vertical="center" wrapText="1"/>
    </xf>
    <xf numFmtId="0" fontId="6" fillId="0" borderId="38" xfId="0" applyFont="1" applyFill="1" applyBorder="1" applyAlignment="1">
      <alignment horizontal="left" vertical="center" wrapText="1"/>
    </xf>
    <xf numFmtId="0" fontId="6" fillId="0" borderId="17" xfId="0" applyFont="1" applyFill="1" applyBorder="1" applyAlignment="1">
      <alignment horizontal="left" vertical="center"/>
    </xf>
    <xf numFmtId="0" fontId="6" fillId="0" borderId="1" xfId="0" applyFont="1" applyBorder="1" applyAlignment="1">
      <alignment horizontal="left" vertical="center"/>
    </xf>
    <xf numFmtId="0" fontId="6" fillId="0" borderId="25" xfId="0" applyFont="1" applyFill="1" applyBorder="1" applyAlignment="1">
      <alignment horizontal="left" vertical="center" wrapText="1"/>
    </xf>
    <xf numFmtId="49" fontId="13" fillId="0" borderId="17" xfId="3" applyNumberFormat="1" applyFont="1" applyFill="1" applyBorder="1" applyAlignment="1">
      <alignment horizontal="left" vertical="center"/>
    </xf>
    <xf numFmtId="0" fontId="6" fillId="0" borderId="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41" xfId="0" applyFont="1" applyFill="1" applyBorder="1" applyAlignment="1">
      <alignment horizontal="left" vertical="center"/>
    </xf>
    <xf numFmtId="2" fontId="6" fillId="0" borderId="4" xfId="0" applyNumberFormat="1" applyFont="1" applyFill="1" applyBorder="1" applyAlignment="1">
      <alignment horizontal="right" vertical="center" wrapText="1"/>
    </xf>
    <xf numFmtId="2" fontId="6" fillId="0" borderId="42" xfId="0" applyNumberFormat="1" applyFont="1" applyFill="1" applyBorder="1" applyAlignment="1">
      <alignment horizontal="right" vertical="center" wrapText="1"/>
    </xf>
    <xf numFmtId="0" fontId="6" fillId="6" borderId="16" xfId="0" applyFont="1" applyFill="1" applyBorder="1" applyAlignment="1">
      <alignment horizontal="left" vertical="center" wrapText="1"/>
    </xf>
    <xf numFmtId="0" fontId="6" fillId="6" borderId="14" xfId="0" applyFont="1" applyFill="1" applyBorder="1" applyAlignment="1">
      <alignment horizontal="left" vertical="center"/>
    </xf>
    <xf numFmtId="0" fontId="6" fillId="6" borderId="13" xfId="0" applyFont="1" applyFill="1" applyBorder="1" applyAlignment="1">
      <alignment horizontal="left" vertical="center"/>
    </xf>
    <xf numFmtId="2" fontId="6" fillId="0" borderId="1" xfId="0" applyNumberFormat="1" applyFont="1" applyFill="1" applyBorder="1" applyAlignment="1">
      <alignment horizontal="right" vertical="center" wrapText="1"/>
    </xf>
    <xf numFmtId="2" fontId="6" fillId="0" borderId="41" xfId="0" applyNumberFormat="1" applyFont="1" applyFill="1" applyBorder="1" applyAlignment="1">
      <alignment horizontal="right" vertical="center" wrapText="1"/>
    </xf>
    <xf numFmtId="1" fontId="5" fillId="4" borderId="72" xfId="3" applyNumberFormat="1" applyFont="1" applyFill="1" applyBorder="1" applyAlignment="1">
      <alignment vertical="center" wrapText="1"/>
    </xf>
    <xf numFmtId="0" fontId="6" fillId="4" borderId="14" xfId="0" applyFont="1" applyFill="1" applyBorder="1" applyAlignment="1">
      <alignment vertical="center" wrapText="1"/>
    </xf>
    <xf numFmtId="0" fontId="6" fillId="4" borderId="13" xfId="0" applyFont="1" applyFill="1" applyBorder="1" applyAlignment="1">
      <alignment vertical="center" wrapText="1"/>
    </xf>
    <xf numFmtId="1" fontId="5" fillId="6" borderId="49" xfId="3" applyNumberFormat="1" applyFont="1" applyFill="1" applyBorder="1" applyAlignment="1">
      <alignment vertical="center" wrapText="1"/>
    </xf>
    <xf numFmtId="0" fontId="6" fillId="6" borderId="3" xfId="0" applyFont="1" applyFill="1" applyBorder="1" applyAlignment="1">
      <alignment vertical="center" wrapText="1"/>
    </xf>
    <xf numFmtId="0" fontId="6" fillId="6" borderId="2" xfId="0" applyFont="1" applyFill="1" applyBorder="1" applyAlignment="1">
      <alignment vertical="center" wrapText="1"/>
    </xf>
    <xf numFmtId="0" fontId="6" fillId="0" borderId="50" xfId="0" applyFont="1" applyFill="1" applyBorder="1" applyAlignment="1">
      <alignment horizontal="left" vertical="center" wrapText="1"/>
    </xf>
    <xf numFmtId="0" fontId="6" fillId="0" borderId="1" xfId="0" applyFont="1" applyBorder="1" applyAlignment="1">
      <alignment horizontal="left" vertical="center" wrapText="1"/>
    </xf>
    <xf numFmtId="0" fontId="13" fillId="6" borderId="16" xfId="0" applyFont="1" applyFill="1" applyBorder="1" applyAlignment="1">
      <alignment horizontal="left" vertical="center" wrapText="1"/>
    </xf>
    <xf numFmtId="49" fontId="13" fillId="0" borderId="5" xfId="3" applyNumberFormat="1" applyFont="1" applyFill="1" applyBorder="1" applyAlignment="1">
      <alignment horizontal="left" vertical="center" wrapText="1"/>
    </xf>
    <xf numFmtId="0" fontId="6" fillId="0" borderId="8" xfId="0" applyFont="1" applyBorder="1" applyAlignment="1">
      <alignment horizontal="left" vertical="center" wrapText="1"/>
    </xf>
    <xf numFmtId="49" fontId="13" fillId="0" borderId="1" xfId="3" applyNumberFormat="1" applyFont="1" applyFill="1" applyBorder="1" applyAlignment="1">
      <alignment horizontal="left" vertical="center" wrapText="1"/>
    </xf>
    <xf numFmtId="49" fontId="13" fillId="0" borderId="8" xfId="3" applyNumberFormat="1" applyFont="1" applyFill="1" applyBorder="1" applyAlignment="1">
      <alignment horizontal="left" vertical="center" wrapText="1"/>
    </xf>
    <xf numFmtId="2" fontId="13" fillId="0" borderId="8" xfId="3" applyNumberFormat="1" applyFont="1" applyFill="1" applyBorder="1" applyAlignment="1">
      <alignment horizontal="right" vertical="center" wrapText="1"/>
    </xf>
    <xf numFmtId="2" fontId="13" fillId="0" borderId="4" xfId="3" applyNumberFormat="1" applyFont="1" applyFill="1" applyBorder="1" applyAlignment="1">
      <alignment horizontal="right" vertical="center" wrapText="1"/>
    </xf>
    <xf numFmtId="2" fontId="13" fillId="0" borderId="11" xfId="3" applyNumberFormat="1" applyFont="1" applyFill="1" applyBorder="1" applyAlignment="1">
      <alignment horizontal="right" vertical="center" wrapText="1"/>
    </xf>
    <xf numFmtId="0" fontId="6" fillId="0" borderId="20" xfId="0" applyFont="1" applyBorder="1" applyAlignment="1">
      <alignment horizontal="left" vertical="center" wrapText="1"/>
    </xf>
    <xf numFmtId="0" fontId="6" fillId="0" borderId="42" xfId="0" applyFont="1" applyBorder="1" applyAlignment="1">
      <alignment horizontal="left" vertical="center" wrapText="1"/>
    </xf>
    <xf numFmtId="0" fontId="13" fillId="8" borderId="7" xfId="4" applyFont="1" applyFill="1" applyBorder="1" applyAlignment="1">
      <alignment horizontal="left" vertical="center" wrapText="1"/>
    </xf>
    <xf numFmtId="0" fontId="6" fillId="8" borderId="0" xfId="0" applyFont="1" applyFill="1" applyBorder="1" applyAlignment="1">
      <alignment horizontal="left" vertical="center"/>
    </xf>
    <xf numFmtId="0" fontId="6" fillId="8" borderId="6" xfId="0" applyFont="1" applyFill="1" applyBorder="1" applyAlignment="1">
      <alignment horizontal="left" vertical="center"/>
    </xf>
    <xf numFmtId="0" fontId="13" fillId="9" borderId="16" xfId="4" applyFont="1" applyFill="1" applyBorder="1" applyAlignment="1">
      <alignment horizontal="left" vertical="center" wrapText="1"/>
    </xf>
    <xf numFmtId="0" fontId="13" fillId="9" borderId="14" xfId="0" applyFont="1" applyFill="1" applyBorder="1" applyAlignment="1">
      <alignment horizontal="left" vertical="center"/>
    </xf>
    <xf numFmtId="0" fontId="13" fillId="9" borderId="13" xfId="0" applyFont="1" applyFill="1" applyBorder="1" applyAlignment="1">
      <alignment horizontal="left" vertical="center"/>
    </xf>
    <xf numFmtId="2" fontId="13" fillId="0" borderId="5" xfId="3" applyNumberFormat="1" applyFont="1" applyFill="1" applyBorder="1" applyAlignment="1">
      <alignment horizontal="right" vertical="center" wrapText="1"/>
    </xf>
    <xf numFmtId="0" fontId="13" fillId="9" borderId="4" xfId="0"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2" xfId="0" applyFont="1" applyFill="1" applyBorder="1" applyAlignment="1">
      <alignment horizontal="left" vertical="center"/>
    </xf>
    <xf numFmtId="0" fontId="9" fillId="9" borderId="15" xfId="0" applyFont="1" applyFill="1" applyBorder="1" applyAlignment="1">
      <alignment horizontal="left" vertical="center" wrapText="1"/>
    </xf>
    <xf numFmtId="0" fontId="9" fillId="9" borderId="32" xfId="0" applyFont="1" applyFill="1" applyBorder="1" applyAlignment="1">
      <alignment horizontal="left" vertical="center" wrapText="1"/>
    </xf>
    <xf numFmtId="0" fontId="9" fillId="9" borderId="4" xfId="0" applyFont="1" applyFill="1" applyBorder="1" applyAlignment="1">
      <alignment horizontal="left" vertical="center" wrapText="1"/>
    </xf>
    <xf numFmtId="0" fontId="9" fillId="9" borderId="11" xfId="0" applyFont="1" applyFill="1" applyBorder="1" applyAlignment="1">
      <alignment horizontal="left" vertical="center" wrapText="1"/>
    </xf>
    <xf numFmtId="49" fontId="13" fillId="9" borderId="1" xfId="3" applyNumberFormat="1" applyFont="1" applyFill="1" applyBorder="1" applyAlignment="1">
      <alignment horizontal="left" vertical="center" wrapText="1"/>
    </xf>
    <xf numFmtId="0" fontId="6" fillId="9" borderId="8" xfId="0" applyFont="1" applyFill="1" applyBorder="1" applyAlignment="1">
      <alignment horizontal="left" vertical="center" wrapText="1"/>
    </xf>
    <xf numFmtId="2" fontId="15" fillId="9" borderId="2" xfId="3" applyNumberFormat="1" applyFont="1" applyFill="1" applyBorder="1" applyAlignment="1">
      <alignment horizontal="right" vertical="center" wrapText="1"/>
    </xf>
    <xf numFmtId="2" fontId="9" fillId="9" borderId="9" xfId="0" applyNumberFormat="1" applyFont="1" applyFill="1" applyBorder="1" applyAlignment="1">
      <alignment horizontal="right" vertical="center" wrapText="1"/>
    </xf>
    <xf numFmtId="0" fontId="6" fillId="6" borderId="10" xfId="0" applyFont="1" applyFill="1" applyBorder="1" applyAlignment="1">
      <alignment horizontal="left" vertical="center"/>
    </xf>
    <xf numFmtId="0" fontId="6" fillId="6" borderId="9" xfId="0" applyFont="1" applyFill="1" applyBorder="1" applyAlignment="1">
      <alignment horizontal="left" vertical="center"/>
    </xf>
    <xf numFmtId="0" fontId="6" fillId="0" borderId="42" xfId="0" applyFont="1" applyBorder="1" applyAlignment="1">
      <alignment horizontal="left" vertical="center"/>
    </xf>
    <xf numFmtId="0" fontId="6" fillId="0" borderId="22" xfId="0" applyFont="1" applyBorder="1" applyAlignment="1">
      <alignment horizontal="left" vertical="center"/>
    </xf>
    <xf numFmtId="0" fontId="6" fillId="0" borderId="15" xfId="0" applyFont="1" applyFill="1" applyBorder="1" applyAlignment="1">
      <alignment horizontal="left" vertical="center" wrapText="1"/>
    </xf>
    <xf numFmtId="49" fontId="13" fillId="0" borderId="15" xfId="3" applyNumberFormat="1" applyFont="1" applyFill="1" applyBorder="1" applyAlignment="1">
      <alignment horizontal="left" vertical="center"/>
    </xf>
    <xf numFmtId="2" fontId="13" fillId="0" borderId="15" xfId="3" applyNumberFormat="1" applyFont="1" applyFill="1" applyBorder="1" applyAlignment="1">
      <alignment horizontal="right" vertical="center"/>
    </xf>
    <xf numFmtId="2" fontId="13" fillId="0" borderId="17" xfId="3" applyNumberFormat="1" applyFont="1" applyFill="1" applyBorder="1" applyAlignment="1">
      <alignment horizontal="right" vertical="center"/>
    </xf>
    <xf numFmtId="2" fontId="6" fillId="0" borderId="15" xfId="0" applyNumberFormat="1" applyFont="1" applyFill="1" applyBorder="1" applyAlignment="1">
      <alignment horizontal="right" vertical="center"/>
    </xf>
    <xf numFmtId="0" fontId="9" fillId="9" borderId="1" xfId="0" applyFont="1" applyFill="1" applyBorder="1" applyAlignment="1">
      <alignment horizontal="left" vertical="center" wrapText="1"/>
    </xf>
    <xf numFmtId="0" fontId="9" fillId="9" borderId="8" xfId="0" applyFont="1" applyFill="1" applyBorder="1" applyAlignment="1">
      <alignment horizontal="left" vertical="center" wrapText="1"/>
    </xf>
    <xf numFmtId="0" fontId="6" fillId="0" borderId="20" xfId="0" applyFont="1" applyBorder="1" applyAlignment="1">
      <alignment horizontal="left" vertical="center"/>
    </xf>
    <xf numFmtId="1" fontId="13" fillId="0" borderId="24" xfId="3" applyNumberFormat="1" applyFont="1" applyFill="1" applyBorder="1" applyAlignment="1">
      <alignment horizontal="right" vertical="center"/>
    </xf>
    <xf numFmtId="1" fontId="13" fillId="0" borderId="41" xfId="3" applyNumberFormat="1" applyFont="1" applyFill="1" applyBorder="1" applyAlignment="1">
      <alignment horizontal="right" vertical="center"/>
    </xf>
    <xf numFmtId="0" fontId="6" fillId="9" borderId="11" xfId="0" applyFont="1" applyFill="1" applyBorder="1" applyAlignment="1">
      <alignment horizontal="left" vertical="center" wrapText="1"/>
    </xf>
    <xf numFmtId="0" fontId="13" fillId="9" borderId="4" xfId="4" applyFont="1" applyFill="1" applyBorder="1" applyAlignment="1">
      <alignment horizontal="left" vertical="center" wrapText="1"/>
    </xf>
    <xf numFmtId="0" fontId="6" fillId="0" borderId="60" xfId="0" applyFont="1" applyFill="1" applyBorder="1" applyAlignment="1">
      <alignment horizontal="right" vertical="center" wrapText="1"/>
    </xf>
    <xf numFmtId="0" fontId="6" fillId="9" borderId="11" xfId="0" applyFont="1" applyFill="1" applyBorder="1" applyAlignment="1">
      <alignment horizontal="left" vertical="center"/>
    </xf>
    <xf numFmtId="0" fontId="6" fillId="9" borderId="10" xfId="0" applyFont="1" applyFill="1" applyBorder="1" applyAlignment="1">
      <alignment horizontal="left" vertical="center"/>
    </xf>
    <xf numFmtId="0" fontId="6" fillId="9" borderId="9" xfId="0" applyFont="1" applyFill="1" applyBorder="1" applyAlignment="1">
      <alignment horizontal="left" vertical="center"/>
    </xf>
    <xf numFmtId="0" fontId="6" fillId="0" borderId="23" xfId="0" applyFont="1" applyFill="1" applyBorder="1" applyAlignment="1">
      <alignment horizontal="left" vertical="center" wrapText="1"/>
    </xf>
    <xf numFmtId="0" fontId="6" fillId="0" borderId="19" xfId="0" applyFont="1" applyFill="1" applyBorder="1" applyAlignment="1">
      <alignment horizontal="left" vertical="center" wrapText="1"/>
    </xf>
    <xf numFmtId="49" fontId="20" fillId="0" borderId="59" xfId="3" applyNumberFormat="1" applyFont="1" applyFill="1" applyBorder="1" applyAlignment="1">
      <alignment horizontal="left" vertical="center" wrapText="1"/>
    </xf>
    <xf numFmtId="49" fontId="20" fillId="0" borderId="55" xfId="3" applyNumberFormat="1" applyFont="1" applyFill="1" applyBorder="1" applyAlignment="1">
      <alignment horizontal="left" vertical="center" wrapText="1"/>
    </xf>
    <xf numFmtId="9" fontId="14" fillId="7" borderId="16" xfId="7"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9" borderId="16" xfId="0" applyFont="1" applyFill="1" applyBorder="1" applyAlignment="1">
      <alignment horizontal="left" vertical="center" wrapText="1"/>
    </xf>
    <xf numFmtId="0" fontId="6" fillId="9" borderId="14" xfId="0" applyFont="1" applyFill="1" applyBorder="1" applyAlignment="1">
      <alignment horizontal="left" vertical="center" wrapText="1"/>
    </xf>
    <xf numFmtId="0" fontId="6" fillId="9" borderId="13" xfId="0" applyFont="1" applyFill="1" applyBorder="1" applyAlignment="1">
      <alignment horizontal="left" vertical="center" wrapText="1"/>
    </xf>
    <xf numFmtId="49" fontId="13" fillId="8" borderId="16" xfId="3" applyNumberFormat="1" applyFont="1" applyFill="1" applyBorder="1" applyAlignment="1">
      <alignment horizontal="left" vertical="center" wrapText="1"/>
    </xf>
    <xf numFmtId="0" fontId="6" fillId="0" borderId="44" xfId="0" applyFont="1" applyFill="1" applyBorder="1" applyAlignment="1">
      <alignment horizontal="right" vertical="center"/>
    </xf>
    <xf numFmtId="0" fontId="6" fillId="0" borderId="48" xfId="0" applyFont="1" applyFill="1" applyBorder="1" applyAlignment="1">
      <alignment horizontal="right" vertical="center"/>
    </xf>
    <xf numFmtId="0" fontId="6" fillId="0" borderId="9" xfId="0" applyFont="1" applyFill="1" applyBorder="1" applyAlignment="1">
      <alignment horizontal="left" vertical="center" wrapText="1"/>
    </xf>
    <xf numFmtId="0" fontId="13" fillId="8" borderId="16" xfId="4" applyFont="1" applyFill="1" applyBorder="1" applyAlignment="1">
      <alignment horizontal="left" vertical="center" wrapText="1"/>
    </xf>
    <xf numFmtId="0" fontId="6" fillId="8" borderId="14" xfId="0" applyFont="1" applyFill="1" applyBorder="1" applyAlignment="1">
      <alignment horizontal="left" vertical="center"/>
    </xf>
    <xf numFmtId="0" fontId="6" fillId="8" borderId="13" xfId="0" applyFont="1" applyFill="1" applyBorder="1" applyAlignment="1">
      <alignment horizontal="left" vertical="center"/>
    </xf>
    <xf numFmtId="0" fontId="6" fillId="9" borderId="4"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13" borderId="16" xfId="0" applyFont="1" applyFill="1" applyBorder="1" applyAlignment="1">
      <alignment horizontal="left" vertical="center" wrapText="1"/>
    </xf>
    <xf numFmtId="0" fontId="6" fillId="13" borderId="14" xfId="0" applyFont="1" applyFill="1" applyBorder="1" applyAlignment="1">
      <alignment horizontal="left" vertical="center" wrapText="1"/>
    </xf>
    <xf numFmtId="0" fontId="6" fillId="13" borderId="13" xfId="0" applyFont="1" applyFill="1" applyBorder="1" applyAlignment="1">
      <alignment horizontal="left" vertical="center" wrapText="1"/>
    </xf>
    <xf numFmtId="9" fontId="14" fillId="8" borderId="16" xfId="7" applyFont="1" applyFill="1" applyBorder="1" applyAlignment="1">
      <alignment horizontal="left" vertical="center" wrapText="1"/>
    </xf>
    <xf numFmtId="3" fontId="13" fillId="0" borderId="59" xfId="8" applyNumberFormat="1" applyFont="1" applyFill="1" applyBorder="1" applyAlignment="1">
      <alignment horizontal="left" vertical="top" wrapText="1"/>
    </xf>
    <xf numFmtId="3" fontId="13" fillId="0" borderId="55" xfId="8" applyNumberFormat="1" applyFont="1" applyFill="1" applyBorder="1" applyAlignment="1">
      <alignment horizontal="left" vertical="top" wrapText="1"/>
    </xf>
    <xf numFmtId="9" fontId="14" fillId="8" borderId="4" xfId="7" applyFont="1" applyFill="1" applyBorder="1" applyAlignment="1">
      <alignment horizontal="left" vertical="center" wrapText="1"/>
    </xf>
    <xf numFmtId="0" fontId="6" fillId="14" borderId="16" xfId="0" applyFont="1" applyFill="1" applyBorder="1" applyAlignment="1">
      <alignment horizontal="left" vertical="center" wrapText="1"/>
    </xf>
    <xf numFmtId="0" fontId="6" fillId="24" borderId="16" xfId="0" applyFont="1" applyFill="1" applyBorder="1" applyAlignment="1">
      <alignment horizontal="left" vertical="center" wrapText="1"/>
    </xf>
    <xf numFmtId="0" fontId="6" fillId="24" borderId="14" xfId="0" applyFont="1" applyFill="1" applyBorder="1" applyAlignment="1">
      <alignment horizontal="left" vertical="center" wrapText="1"/>
    </xf>
    <xf numFmtId="0" fontId="6" fillId="24" borderId="13" xfId="0" applyFont="1" applyFill="1" applyBorder="1" applyAlignment="1">
      <alignment horizontal="left" vertical="center" wrapText="1"/>
    </xf>
    <xf numFmtId="0" fontId="13" fillId="18" borderId="16" xfId="0" applyFont="1" applyFill="1" applyBorder="1" applyAlignment="1">
      <alignment horizontal="left" vertical="center" wrapText="1"/>
    </xf>
    <xf numFmtId="0" fontId="6" fillId="18" borderId="14" xfId="0" applyFont="1" applyFill="1" applyBorder="1" applyAlignment="1">
      <alignment horizontal="left" vertical="center" wrapText="1"/>
    </xf>
    <xf numFmtId="0" fontId="6" fillId="18" borderId="13" xfId="0" applyFont="1" applyFill="1" applyBorder="1" applyAlignment="1">
      <alignment horizontal="left" vertical="center" wrapText="1"/>
    </xf>
    <xf numFmtId="9" fontId="13" fillId="19" borderId="16" xfId="7" applyFont="1" applyFill="1" applyBorder="1" applyAlignment="1">
      <alignment horizontal="left" vertical="center" wrapText="1"/>
    </xf>
    <xf numFmtId="0" fontId="6" fillId="19" borderId="14" xfId="0" applyFont="1" applyFill="1" applyBorder="1" applyAlignment="1">
      <alignment horizontal="left" vertical="center" wrapText="1"/>
    </xf>
    <xf numFmtId="0" fontId="6" fillId="19" borderId="13" xfId="0" applyFont="1" applyFill="1" applyBorder="1" applyAlignment="1">
      <alignment horizontal="left" vertical="center" wrapText="1"/>
    </xf>
    <xf numFmtId="49" fontId="13" fillId="0" borderId="23" xfId="3" applyNumberFormat="1" applyFont="1" applyFill="1" applyBorder="1" applyAlignment="1">
      <alignment horizontal="left" vertical="center"/>
    </xf>
    <xf numFmtId="49" fontId="13" fillId="0" borderId="6" xfId="3" applyNumberFormat="1" applyFont="1" applyFill="1" applyBorder="1" applyAlignment="1">
      <alignment horizontal="left" vertical="center"/>
    </xf>
    <xf numFmtId="49" fontId="13" fillId="0" borderId="19" xfId="3" applyNumberFormat="1" applyFont="1" applyFill="1" applyBorder="1" applyAlignment="1">
      <alignment horizontal="left" vertical="center"/>
    </xf>
    <xf numFmtId="2" fontId="17" fillId="14" borderId="16" xfId="3" applyNumberFormat="1" applyFont="1" applyFill="1" applyBorder="1" applyAlignment="1">
      <alignment horizontal="right" vertical="center"/>
    </xf>
    <xf numFmtId="2" fontId="17" fillId="14" borderId="13" xfId="3" applyNumberFormat="1" applyFont="1" applyFill="1" applyBorder="1" applyAlignment="1">
      <alignment horizontal="right" vertical="center"/>
    </xf>
    <xf numFmtId="49" fontId="15" fillId="0" borderId="22" xfId="3" applyNumberFormat="1" applyFont="1" applyFill="1" applyBorder="1" applyAlignment="1">
      <alignment horizontal="left"/>
    </xf>
    <xf numFmtId="49" fontId="15" fillId="0" borderId="21" xfId="3" applyNumberFormat="1" applyFont="1" applyFill="1" applyBorder="1" applyAlignment="1">
      <alignment horizontal="left"/>
    </xf>
    <xf numFmtId="0" fontId="16" fillId="14" borderId="16" xfId="0" applyFont="1" applyFill="1" applyBorder="1" applyAlignment="1">
      <alignment horizontal="right" vertical="center" wrapText="1"/>
    </xf>
    <xf numFmtId="0" fontId="16" fillId="14" borderId="14" xfId="0" applyFont="1" applyFill="1" applyBorder="1" applyAlignment="1">
      <alignment horizontal="right" vertical="center" wrapText="1"/>
    </xf>
    <xf numFmtId="0" fontId="16" fillId="14" borderId="13" xfId="0" applyFont="1" applyFill="1" applyBorder="1" applyAlignment="1">
      <alignment horizontal="right" vertical="center" wrapText="1"/>
    </xf>
    <xf numFmtId="49" fontId="13" fillId="0" borderId="22" xfId="3" applyNumberFormat="1" applyFont="1" applyFill="1" applyBorder="1" applyAlignment="1">
      <alignment horizontal="left"/>
    </xf>
    <xf numFmtId="49" fontId="13" fillId="0" borderId="21" xfId="3" applyNumberFormat="1" applyFont="1" applyFill="1" applyBorder="1" applyAlignment="1">
      <alignment horizontal="left"/>
    </xf>
    <xf numFmtId="49" fontId="15" fillId="0" borderId="20" xfId="3" applyNumberFormat="1" applyFont="1" applyFill="1" applyBorder="1" applyAlignment="1">
      <alignment horizontal="left"/>
    </xf>
    <xf numFmtId="49" fontId="15" fillId="0" borderId="18" xfId="3" applyNumberFormat="1" applyFont="1" applyFill="1" applyBorder="1" applyAlignment="1">
      <alignment horizontal="left"/>
    </xf>
    <xf numFmtId="49" fontId="15" fillId="0" borderId="50" xfId="3" applyNumberFormat="1" applyFont="1" applyFill="1" applyBorder="1" applyAlignment="1">
      <alignment horizontal="left"/>
    </xf>
    <xf numFmtId="49" fontId="15" fillId="0" borderId="33" xfId="3" applyNumberFormat="1" applyFont="1" applyFill="1" applyBorder="1" applyAlignment="1">
      <alignment horizontal="left"/>
    </xf>
    <xf numFmtId="0" fontId="13" fillId="9" borderId="16" xfId="0" applyFont="1" applyFill="1" applyBorder="1" applyAlignment="1">
      <alignment horizontal="left" vertical="center" wrapText="1"/>
    </xf>
    <xf numFmtId="0" fontId="6" fillId="9" borderId="14" xfId="0" applyFont="1" applyFill="1" applyBorder="1" applyAlignment="1">
      <alignment horizontal="left" vertical="center"/>
    </xf>
    <xf numFmtId="0" fontId="6" fillId="9" borderId="13" xfId="0" applyFont="1" applyFill="1" applyBorder="1" applyAlignment="1">
      <alignment horizontal="left" vertical="center"/>
    </xf>
    <xf numFmtId="0" fontId="6" fillId="8" borderId="16" xfId="0" applyFont="1" applyFill="1" applyBorder="1" applyAlignment="1">
      <alignment horizontal="left" vertical="center" wrapText="1"/>
    </xf>
    <xf numFmtId="2" fontId="13" fillId="0" borderId="4" xfId="3" applyNumberFormat="1" applyFont="1" applyFill="1" applyBorder="1" applyAlignment="1">
      <alignment horizontal="right" vertical="center"/>
    </xf>
    <xf numFmtId="2" fontId="6" fillId="22" borderId="8" xfId="0" applyNumberFormat="1" applyFont="1" applyFill="1" applyBorder="1" applyAlignment="1">
      <alignment horizontal="right" vertical="center"/>
    </xf>
    <xf numFmtId="0" fontId="6" fillId="23" borderId="16" xfId="0" applyFont="1" applyFill="1" applyBorder="1" applyAlignment="1">
      <alignment horizontal="left" vertical="center" wrapText="1"/>
    </xf>
    <xf numFmtId="0" fontId="6" fillId="23" borderId="14" xfId="0" applyFont="1" applyFill="1" applyBorder="1" applyAlignment="1">
      <alignment horizontal="left" vertical="center" wrapText="1"/>
    </xf>
    <xf numFmtId="0" fontId="6" fillId="23" borderId="13" xfId="0" applyFont="1" applyFill="1" applyBorder="1" applyAlignment="1">
      <alignment horizontal="left" vertical="center" wrapText="1"/>
    </xf>
    <xf numFmtId="0" fontId="6" fillId="20" borderId="16" xfId="0" applyFont="1" applyFill="1" applyBorder="1" applyAlignment="1">
      <alignment horizontal="left" vertical="center" wrapText="1"/>
    </xf>
    <xf numFmtId="0" fontId="6" fillId="20" borderId="14" xfId="0" applyFont="1" applyFill="1" applyBorder="1" applyAlignment="1">
      <alignment horizontal="left" vertical="center" wrapText="1"/>
    </xf>
    <xf numFmtId="0" fontId="6" fillId="20" borderId="13" xfId="0" applyFont="1" applyFill="1" applyBorder="1" applyAlignment="1">
      <alignment horizontal="left" vertical="center" wrapText="1"/>
    </xf>
    <xf numFmtId="0" fontId="6" fillId="0" borderId="66" xfId="0" applyFont="1" applyFill="1" applyBorder="1" applyAlignment="1">
      <alignment horizontal="left" vertical="top" wrapText="1"/>
    </xf>
    <xf numFmtId="49" fontId="13" fillId="10" borderId="10" xfId="0" applyNumberFormat="1" applyFont="1" applyFill="1" applyBorder="1" applyAlignment="1">
      <alignment horizontal="left" vertical="center" wrapText="1"/>
    </xf>
    <xf numFmtId="0" fontId="6" fillId="10" borderId="10" xfId="0" applyFont="1" applyFill="1" applyBorder="1" applyAlignment="1">
      <alignment horizontal="left" vertical="center"/>
    </xf>
    <xf numFmtId="0" fontId="6" fillId="10" borderId="9" xfId="0" applyFont="1" applyFill="1" applyBorder="1" applyAlignment="1">
      <alignment horizontal="left" vertical="center"/>
    </xf>
    <xf numFmtId="0" fontId="13" fillId="11" borderId="7" xfId="0" applyFont="1" applyFill="1" applyBorder="1" applyAlignment="1">
      <alignment horizontal="left" vertical="center" wrapText="1"/>
    </xf>
    <xf numFmtId="0" fontId="6" fillId="11" borderId="0" xfId="0" applyFont="1" applyFill="1" applyBorder="1" applyAlignment="1">
      <alignment horizontal="left" vertical="center"/>
    </xf>
    <xf numFmtId="0" fontId="6" fillId="11" borderId="6" xfId="0" applyFont="1" applyFill="1" applyBorder="1" applyAlignment="1">
      <alignment horizontal="left" vertical="center"/>
    </xf>
    <xf numFmtId="49" fontId="13" fillId="10" borderId="16" xfId="0" applyNumberFormat="1" applyFont="1" applyFill="1" applyBorder="1" applyAlignment="1">
      <alignment horizontal="left" vertical="center" wrapText="1"/>
    </xf>
    <xf numFmtId="0" fontId="6" fillId="10" borderId="14" xfId="0" applyFont="1" applyFill="1" applyBorder="1" applyAlignment="1">
      <alignment horizontal="left" vertical="center"/>
    </xf>
    <xf numFmtId="0" fontId="6" fillId="10" borderId="13" xfId="0" applyFont="1" applyFill="1" applyBorder="1" applyAlignment="1">
      <alignment horizontal="left" vertical="center"/>
    </xf>
    <xf numFmtId="49" fontId="13" fillId="0" borderId="6" xfId="3" applyNumberFormat="1" applyFont="1" applyFill="1" applyBorder="1" applyAlignment="1">
      <alignment horizontal="left" vertical="center" wrapText="1"/>
    </xf>
    <xf numFmtId="49" fontId="13" fillId="0" borderId="19" xfId="3" applyNumberFormat="1" applyFont="1" applyFill="1" applyBorder="1" applyAlignment="1">
      <alignment horizontal="left" vertical="center" wrapText="1"/>
    </xf>
    <xf numFmtId="2" fontId="13" fillId="0" borderId="23" xfId="3" applyNumberFormat="1" applyFont="1" applyFill="1" applyBorder="1" applyAlignment="1">
      <alignment horizontal="right" vertical="center"/>
    </xf>
    <xf numFmtId="2" fontId="13" fillId="0" borderId="6" xfId="3" applyNumberFormat="1" applyFont="1" applyFill="1" applyBorder="1" applyAlignment="1">
      <alignment horizontal="right" vertical="center"/>
    </xf>
    <xf numFmtId="2" fontId="13" fillId="0" borderId="19" xfId="3" applyNumberFormat="1" applyFont="1" applyFill="1" applyBorder="1" applyAlignment="1">
      <alignment horizontal="right" vertical="center"/>
    </xf>
    <xf numFmtId="0" fontId="6" fillId="0" borderId="1" xfId="0" applyFont="1" applyFill="1" applyBorder="1" applyAlignment="1">
      <alignment horizontal="left" vertical="center"/>
    </xf>
    <xf numFmtId="49" fontId="13" fillId="0" borderId="1" xfId="3" applyNumberFormat="1" applyFont="1" applyFill="1" applyBorder="1" applyAlignment="1">
      <alignment horizontal="left" vertical="top"/>
    </xf>
    <xf numFmtId="2" fontId="13" fillId="0" borderId="1" xfId="3" applyNumberFormat="1" applyFont="1" applyFill="1" applyBorder="1" applyAlignment="1">
      <alignment horizontal="right" vertical="top"/>
    </xf>
    <xf numFmtId="2" fontId="6" fillId="0" borderId="1" xfId="0" applyNumberFormat="1" applyFont="1" applyFill="1" applyBorder="1" applyAlignment="1">
      <alignment horizontal="right" vertical="top"/>
    </xf>
    <xf numFmtId="2" fontId="13" fillId="0" borderId="25" xfId="3" applyNumberFormat="1" applyFont="1" applyFill="1" applyBorder="1" applyAlignment="1">
      <alignment horizontal="right" vertical="center"/>
    </xf>
    <xf numFmtId="2" fontId="13" fillId="22" borderId="7" xfId="3" applyNumberFormat="1" applyFont="1" applyFill="1" applyBorder="1" applyAlignment="1">
      <alignment horizontal="right" vertical="center"/>
    </xf>
    <xf numFmtId="2" fontId="13" fillId="22" borderId="42" xfId="3" applyNumberFormat="1" applyFont="1" applyFill="1" applyBorder="1" applyAlignment="1">
      <alignment horizontal="right" vertical="center"/>
    </xf>
    <xf numFmtId="2" fontId="6" fillId="22" borderId="7" xfId="0" applyNumberFormat="1" applyFont="1" applyFill="1" applyBorder="1" applyAlignment="1">
      <alignment horizontal="right" vertical="center"/>
    </xf>
    <xf numFmtId="2" fontId="6" fillId="22" borderId="42" xfId="0" applyNumberFormat="1" applyFont="1" applyFill="1" applyBorder="1" applyAlignment="1">
      <alignment horizontal="right" vertical="center"/>
    </xf>
    <xf numFmtId="2" fontId="6" fillId="0" borderId="25" xfId="0" applyNumberFormat="1" applyFont="1" applyFill="1" applyBorder="1" applyAlignment="1">
      <alignment horizontal="right" vertical="center"/>
    </xf>
    <xf numFmtId="0" fontId="6" fillId="0" borderId="17" xfId="0" applyFont="1" applyBorder="1" applyAlignment="1">
      <alignment horizontal="left" vertical="top" wrapText="1"/>
    </xf>
    <xf numFmtId="0" fontId="6" fillId="0" borderId="17" xfId="0" applyFont="1" applyFill="1" applyBorder="1" applyAlignment="1">
      <alignment horizontal="left" vertical="top" wrapText="1"/>
    </xf>
    <xf numFmtId="9" fontId="13" fillId="19" borderId="4" xfId="7" applyFont="1" applyFill="1" applyBorder="1" applyAlignment="1">
      <alignment horizontal="left" vertical="center" wrapText="1"/>
    </xf>
    <xf numFmtId="0" fontId="6" fillId="19" borderId="3" xfId="0" applyFont="1" applyFill="1" applyBorder="1" applyAlignment="1">
      <alignment horizontal="left" vertical="center" wrapText="1"/>
    </xf>
    <xf numFmtId="0" fontId="6" fillId="19" borderId="2" xfId="0" applyFont="1" applyFill="1" applyBorder="1" applyAlignment="1">
      <alignment horizontal="left" vertical="center" wrapText="1"/>
    </xf>
    <xf numFmtId="49" fontId="13" fillId="0" borderId="43" xfId="3" applyNumberFormat="1" applyFont="1" applyFill="1" applyBorder="1" applyAlignment="1">
      <alignment horizontal="left" vertical="center" wrapText="1"/>
    </xf>
    <xf numFmtId="49" fontId="13" fillId="0" borderId="47" xfId="3" applyNumberFormat="1" applyFont="1" applyFill="1" applyBorder="1" applyAlignment="1">
      <alignment horizontal="left" vertical="center" wrapText="1"/>
    </xf>
    <xf numFmtId="0" fontId="6" fillId="0" borderId="48" xfId="0" applyFont="1" applyFill="1" applyBorder="1" applyAlignment="1">
      <alignment horizontal="right" vertical="center" wrapText="1"/>
    </xf>
    <xf numFmtId="0" fontId="6" fillId="15" borderId="4" xfId="0" applyFont="1" applyFill="1" applyBorder="1" applyAlignment="1">
      <alignment horizontal="left" vertical="center" wrapText="1"/>
    </xf>
    <xf numFmtId="0" fontId="6" fillId="15" borderId="3" xfId="0" applyFont="1" applyFill="1" applyBorder="1" applyAlignment="1">
      <alignment horizontal="left" vertical="center" wrapText="1"/>
    </xf>
    <xf numFmtId="0" fontId="6" fillId="15" borderId="2" xfId="0" applyFont="1" applyFill="1" applyBorder="1" applyAlignment="1">
      <alignment horizontal="left" vertical="center" wrapText="1"/>
    </xf>
    <xf numFmtId="49" fontId="13" fillId="13" borderId="14" xfId="0" applyNumberFormat="1" applyFont="1" applyFill="1" applyBorder="1" applyAlignment="1">
      <alignment horizontal="left" vertical="center" wrapText="1"/>
    </xf>
    <xf numFmtId="0" fontId="13" fillId="0" borderId="69" xfId="0" applyFont="1" applyFill="1" applyBorder="1" applyAlignment="1">
      <alignment horizontal="left" vertical="center"/>
    </xf>
    <xf numFmtId="1" fontId="6" fillId="0" borderId="44" xfId="1" applyNumberFormat="1" applyFont="1" applyFill="1" applyBorder="1" applyAlignment="1">
      <alignment horizontal="right" vertical="center" wrapText="1"/>
    </xf>
    <xf numFmtId="1" fontId="6" fillId="0" borderId="70" xfId="1" applyNumberFormat="1" applyFont="1" applyFill="1" applyBorder="1" applyAlignment="1">
      <alignment horizontal="right" vertical="center" wrapText="1"/>
    </xf>
    <xf numFmtId="1" fontId="6" fillId="0" borderId="48" xfId="1" applyNumberFormat="1" applyFont="1" applyFill="1" applyBorder="1" applyAlignment="1">
      <alignment horizontal="right" vertical="center" wrapText="1"/>
    </xf>
    <xf numFmtId="0" fontId="13" fillId="20" borderId="11" xfId="0" applyFont="1" applyFill="1" applyBorder="1" applyAlignment="1">
      <alignment horizontal="left" vertical="center" wrapText="1"/>
    </xf>
    <xf numFmtId="0" fontId="6" fillId="20" borderId="10" xfId="0" applyFont="1" applyFill="1" applyBorder="1" applyAlignment="1">
      <alignment horizontal="left" vertical="center"/>
    </xf>
    <xf numFmtId="0" fontId="6" fillId="20" borderId="9" xfId="0" applyFont="1" applyFill="1" applyBorder="1" applyAlignment="1">
      <alignment horizontal="left" vertical="center"/>
    </xf>
    <xf numFmtId="0" fontId="13" fillId="0" borderId="45" xfId="0" applyFont="1" applyFill="1" applyBorder="1" applyAlignment="1">
      <alignment horizontal="left" vertical="center" wrapText="1"/>
    </xf>
    <xf numFmtId="0" fontId="13" fillId="0" borderId="63" xfId="0" applyFont="1" applyFill="1" applyBorder="1" applyAlignment="1">
      <alignment horizontal="left" vertical="center" wrapText="1"/>
    </xf>
    <xf numFmtId="0" fontId="13" fillId="21" borderId="7" xfId="0" applyFont="1" applyFill="1" applyBorder="1" applyAlignment="1">
      <alignment horizontal="left" vertical="center" wrapText="1"/>
    </xf>
    <xf numFmtId="0" fontId="6" fillId="21" borderId="0" xfId="0" applyFont="1" applyFill="1" applyBorder="1" applyAlignment="1">
      <alignment horizontal="left" vertical="center"/>
    </xf>
    <xf numFmtId="0" fontId="6" fillId="21" borderId="6" xfId="0" applyFont="1" applyFill="1" applyBorder="1" applyAlignment="1">
      <alignment horizontal="left" vertical="center"/>
    </xf>
    <xf numFmtId="0" fontId="6" fillId="16" borderId="16" xfId="0" applyFont="1" applyFill="1" applyBorder="1" applyAlignment="1">
      <alignment horizontal="left" vertical="center" wrapText="1"/>
    </xf>
    <xf numFmtId="1" fontId="6" fillId="0" borderId="56" xfId="1" applyNumberFormat="1" applyFont="1" applyFill="1" applyBorder="1" applyAlignment="1">
      <alignment horizontal="right" vertical="center" wrapText="1"/>
    </xf>
    <xf numFmtId="49" fontId="20" fillId="0" borderId="69" xfId="3" applyNumberFormat="1" applyFont="1" applyFill="1" applyBorder="1" applyAlignment="1">
      <alignment vertical="center" wrapText="1"/>
    </xf>
    <xf numFmtId="0" fontId="21" fillId="0" borderId="55" xfId="0" applyFont="1" applyFill="1" applyBorder="1" applyAlignment="1">
      <alignment vertical="center"/>
    </xf>
    <xf numFmtId="0" fontId="13" fillId="11" borderId="4" xfId="0" applyFont="1" applyFill="1" applyBorder="1" applyAlignment="1">
      <alignment horizontal="left" vertical="center" wrapText="1"/>
    </xf>
    <xf numFmtId="0" fontId="6" fillId="11" borderId="3" xfId="0" applyFont="1" applyFill="1" applyBorder="1" applyAlignment="1">
      <alignment horizontal="left" vertical="center"/>
    </xf>
    <xf numFmtId="0" fontId="6" fillId="11" borderId="2" xfId="0" applyFont="1" applyFill="1" applyBorder="1" applyAlignment="1">
      <alignment horizontal="left" vertical="center"/>
    </xf>
    <xf numFmtId="0" fontId="13" fillId="0" borderId="66" xfId="0" applyFont="1" applyFill="1" applyBorder="1" applyAlignment="1">
      <alignment horizontal="left" vertical="center" wrapText="1"/>
    </xf>
    <xf numFmtId="0" fontId="0" fillId="0" borderId="0" xfId="0" applyFill="1" applyAlignment="1">
      <alignment horizontal="left" vertical="top" wrapText="1"/>
    </xf>
    <xf numFmtId="0" fontId="6" fillId="0" borderId="69" xfId="0" applyFont="1" applyFill="1" applyBorder="1" applyAlignment="1">
      <alignment horizontal="left" vertical="center" wrapText="1"/>
    </xf>
    <xf numFmtId="0" fontId="6" fillId="0" borderId="70" xfId="0" applyFont="1" applyFill="1" applyBorder="1" applyAlignment="1">
      <alignment horizontal="right" vertical="center" wrapText="1"/>
    </xf>
    <xf numFmtId="1" fontId="13" fillId="0" borderId="59" xfId="3" applyNumberFormat="1" applyFont="1" applyFill="1" applyBorder="1" applyAlignment="1">
      <alignment horizontal="left" vertical="top" wrapText="1"/>
    </xf>
    <xf numFmtId="1" fontId="13" fillId="0" borderId="55" xfId="3" applyNumberFormat="1" applyFont="1" applyFill="1" applyBorder="1" applyAlignment="1">
      <alignment horizontal="left" vertical="top" wrapText="1"/>
    </xf>
    <xf numFmtId="0" fontId="13" fillId="17" borderId="16" xfId="0" applyFont="1" applyFill="1" applyBorder="1" applyAlignment="1">
      <alignment horizontal="left" vertical="center" wrapText="1"/>
    </xf>
    <xf numFmtId="0" fontId="6" fillId="17" borderId="14" xfId="0" applyFont="1" applyFill="1" applyBorder="1" applyAlignment="1">
      <alignment horizontal="left" vertical="center" wrapText="1"/>
    </xf>
    <xf numFmtId="0" fontId="6" fillId="17" borderId="13" xfId="0" applyFont="1" applyFill="1" applyBorder="1" applyAlignment="1">
      <alignment horizontal="left" vertical="center" wrapText="1"/>
    </xf>
    <xf numFmtId="0" fontId="13" fillId="0" borderId="45" xfId="0" applyFont="1" applyFill="1" applyBorder="1" applyAlignment="1">
      <alignment horizontal="left" vertical="top" wrapText="1"/>
    </xf>
    <xf numFmtId="0" fontId="13" fillId="0" borderId="63" xfId="0" applyFont="1" applyFill="1" applyBorder="1" applyAlignment="1">
      <alignment horizontal="left" vertical="top" wrapText="1"/>
    </xf>
    <xf numFmtId="0" fontId="6" fillId="0" borderId="45" xfId="0" applyFont="1" applyFill="1" applyBorder="1" applyAlignment="1">
      <alignment vertical="center" wrapText="1"/>
    </xf>
    <xf numFmtId="0" fontId="6" fillId="0" borderId="63" xfId="0" applyFont="1" applyFill="1" applyBorder="1" applyAlignment="1">
      <alignment vertical="center" wrapText="1"/>
    </xf>
    <xf numFmtId="0" fontId="13" fillId="0" borderId="47" xfId="0" applyFont="1" applyFill="1" applyBorder="1" applyAlignment="1">
      <alignment horizontal="left" vertical="center"/>
    </xf>
    <xf numFmtId="1" fontId="13" fillId="0" borderId="43" xfId="3" applyNumberFormat="1" applyFont="1" applyFill="1" applyBorder="1" applyAlignment="1">
      <alignment horizontal="left" vertical="top" wrapText="1"/>
    </xf>
    <xf numFmtId="9" fontId="14" fillId="7" borderId="4" xfId="7"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2" xfId="0" applyFont="1" applyFill="1" applyBorder="1" applyAlignment="1">
      <alignment horizontal="left" vertical="center" wrapText="1"/>
    </xf>
    <xf numFmtId="0" fontId="13" fillId="5" borderId="4" xfId="5"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3" fillId="12" borderId="16" xfId="4" applyFont="1" applyFill="1" applyBorder="1" applyAlignment="1">
      <alignment horizontal="left" vertical="center" wrapText="1"/>
    </xf>
    <xf numFmtId="0" fontId="6" fillId="12" borderId="14" xfId="0" applyFont="1" applyFill="1" applyBorder="1" applyAlignment="1">
      <alignment horizontal="left" vertical="center"/>
    </xf>
    <xf numFmtId="0" fontId="6" fillId="12" borderId="13" xfId="0" applyFont="1" applyFill="1" applyBorder="1" applyAlignment="1">
      <alignment horizontal="left" vertical="center"/>
    </xf>
  </cellXfs>
  <cellStyles count="9">
    <cellStyle name="Excel Built-in Normal" xfId="8" xr:uid="{00000000-0005-0000-0000-000000000000}"/>
    <cellStyle name="Įprastas" xfId="0" builtinId="0"/>
    <cellStyle name="Įprastas 2 2" xfId="2" xr:uid="{00000000-0005-0000-0000-000002000000}"/>
    <cellStyle name="Normal_1234LENT" xfId="3" xr:uid="{00000000-0005-0000-0000-000003000000}"/>
    <cellStyle name="Normal_1Forma" xfId="5" xr:uid="{00000000-0005-0000-0000-000004000000}"/>
    <cellStyle name="Normal_7oji" xfId="6" xr:uid="{00000000-0005-0000-0000-000005000000}"/>
    <cellStyle name="Paprastas_Knyga6" xfId="4" xr:uid="{00000000-0005-0000-0000-000006000000}"/>
    <cellStyle name="Procentai" xfId="1" builtinId="5"/>
    <cellStyle name="Procentai 2"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9"/>
  <sheetViews>
    <sheetView tabSelected="1" topLeftCell="A587" zoomScale="99" zoomScaleNormal="99" workbookViewId="0">
      <selection activeCell="C451" sqref="C451"/>
    </sheetView>
  </sheetViews>
  <sheetFormatPr defaultRowHeight="14.5"/>
  <cols>
    <col min="2" max="2" width="43" customWidth="1"/>
    <col min="3" max="3" width="15.7265625" customWidth="1"/>
    <col min="4" max="4" width="15.54296875" customWidth="1"/>
    <col min="5" max="5" width="15" customWidth="1"/>
    <col min="6" max="6" width="35.453125" customWidth="1"/>
    <col min="7" max="7" width="11.81640625" customWidth="1"/>
    <col min="8" max="8" width="11.54296875" customWidth="1"/>
    <col min="9" max="9" width="64.1796875" customWidth="1"/>
    <col min="10" max="16" width="5.453125" customWidth="1"/>
    <col min="17" max="17" width="7.7265625" customWidth="1"/>
  </cols>
  <sheetData>
    <row r="1" spans="1:9" ht="15" thickBot="1">
      <c r="A1" s="2"/>
      <c r="B1" s="2"/>
      <c r="C1" s="2"/>
      <c r="D1" s="2"/>
      <c r="E1" s="2"/>
      <c r="F1" s="2"/>
      <c r="G1" s="2"/>
      <c r="H1" s="2"/>
      <c r="I1" s="2"/>
    </row>
    <row r="2" spans="1:9" ht="15" thickBot="1">
      <c r="A2" s="3"/>
      <c r="B2" s="4"/>
      <c r="C2" s="4"/>
      <c r="D2" s="4"/>
      <c r="E2" s="5"/>
      <c r="F2" s="6"/>
      <c r="G2" s="6"/>
      <c r="H2" s="6"/>
      <c r="I2" s="4" t="s">
        <v>0</v>
      </c>
    </row>
    <row r="3" spans="1:9" ht="20.5">
      <c r="A3" s="3"/>
      <c r="B3" s="7"/>
      <c r="C3" s="8" t="s">
        <v>575</v>
      </c>
      <c r="D3" s="8"/>
      <c r="E3" s="5"/>
      <c r="F3" s="6"/>
      <c r="G3" s="6"/>
      <c r="H3" s="6"/>
      <c r="I3" s="4" t="s">
        <v>1</v>
      </c>
    </row>
    <row r="4" spans="1:9">
      <c r="A4" s="9"/>
      <c r="B4" s="10"/>
      <c r="C4" s="11"/>
      <c r="D4" s="11"/>
      <c r="E4" s="631"/>
      <c r="F4" s="12"/>
      <c r="G4" s="12"/>
      <c r="H4" s="12"/>
      <c r="I4" s="10" t="s">
        <v>1066</v>
      </c>
    </row>
    <row r="5" spans="1:9" ht="15" thickBot="1">
      <c r="A5" s="13"/>
      <c r="B5" s="14"/>
      <c r="C5" s="15"/>
      <c r="D5" s="15"/>
      <c r="E5" s="16"/>
      <c r="F5" s="17"/>
      <c r="G5" s="17"/>
      <c r="H5" s="17"/>
      <c r="I5" s="14" t="s">
        <v>397</v>
      </c>
    </row>
    <row r="6" spans="1:9" ht="58.5" customHeight="1" thickBot="1">
      <c r="A6" s="18"/>
      <c r="B6" s="1" t="s">
        <v>2</v>
      </c>
      <c r="C6" s="799" t="s">
        <v>1108</v>
      </c>
      <c r="D6" s="799"/>
      <c r="E6" s="799"/>
      <c r="F6" s="799"/>
      <c r="G6" s="799"/>
      <c r="H6" s="799"/>
      <c r="I6" s="800"/>
    </row>
    <row r="7" spans="1:9" ht="15" thickBot="1">
      <c r="A7" s="9"/>
      <c r="B7" s="10"/>
      <c r="C7" s="11"/>
      <c r="D7" s="11"/>
      <c r="E7" s="631"/>
      <c r="F7" s="12"/>
      <c r="G7" s="12"/>
      <c r="H7" s="12"/>
      <c r="I7" s="9"/>
    </row>
    <row r="8" spans="1:9" ht="56.5" thickBot="1">
      <c r="A8" s="29" t="s">
        <v>3</v>
      </c>
      <c r="B8" s="19" t="s">
        <v>4</v>
      </c>
      <c r="C8" s="20" t="s">
        <v>5</v>
      </c>
      <c r="D8" s="20" t="s">
        <v>6</v>
      </c>
      <c r="E8" s="21" t="s">
        <v>7</v>
      </c>
      <c r="F8" s="22" t="s">
        <v>8</v>
      </c>
      <c r="G8" s="22" t="s">
        <v>9</v>
      </c>
      <c r="H8" s="22" t="s">
        <v>10</v>
      </c>
      <c r="I8" s="23" t="s">
        <v>11</v>
      </c>
    </row>
    <row r="9" spans="1:9" ht="54.75" customHeight="1" thickBot="1">
      <c r="A9" s="79" t="s">
        <v>308</v>
      </c>
      <c r="B9" s="80" t="s">
        <v>307</v>
      </c>
      <c r="C9" s="81"/>
      <c r="D9" s="155">
        <f>D10+D95+D182</f>
        <v>41233.100000000006</v>
      </c>
      <c r="E9" s="155">
        <f>E10+E95+E182</f>
        <v>40510.229999999996</v>
      </c>
      <c r="F9" s="801"/>
      <c r="G9" s="802"/>
      <c r="H9" s="802"/>
      <c r="I9" s="803"/>
    </row>
    <row r="10" spans="1:9" ht="24" customHeight="1" thickBot="1">
      <c r="A10" s="31" t="s">
        <v>12</v>
      </c>
      <c r="B10" s="25" t="s">
        <v>13</v>
      </c>
      <c r="C10" s="26"/>
      <c r="D10" s="127">
        <f>D11+D21+D28+D52+D77</f>
        <v>22752.100000000002</v>
      </c>
      <c r="E10" s="127">
        <f>E11+E21+E28+E52+E77</f>
        <v>22461.200000000001</v>
      </c>
      <c r="F10" s="804"/>
      <c r="G10" s="805"/>
      <c r="H10" s="805"/>
      <c r="I10" s="806"/>
    </row>
    <row r="11" spans="1:9" ht="28.5" thickBot="1">
      <c r="A11" s="28" t="s">
        <v>12</v>
      </c>
      <c r="B11" s="30" t="s">
        <v>14</v>
      </c>
      <c r="C11" s="27"/>
      <c r="D11" s="128">
        <f>D12</f>
        <v>13206</v>
      </c>
      <c r="E11" s="128">
        <f>E12</f>
        <v>13287</v>
      </c>
      <c r="F11" s="807"/>
      <c r="G11" s="763"/>
      <c r="H11" s="763"/>
      <c r="I11" s="764"/>
    </row>
    <row r="12" spans="1:9" ht="12.75" customHeight="1">
      <c r="A12" s="808" t="s">
        <v>15</v>
      </c>
      <c r="B12" s="808" t="s">
        <v>16</v>
      </c>
      <c r="C12" s="808"/>
      <c r="D12" s="811">
        <f>SUM(D16:D20)</f>
        <v>13206</v>
      </c>
      <c r="E12" s="811">
        <f>SUM(E16:E20)</f>
        <v>13287</v>
      </c>
      <c r="F12" s="814"/>
      <c r="G12" s="815"/>
      <c r="H12" s="815"/>
      <c r="I12" s="816"/>
    </row>
    <row r="13" spans="1:9" ht="12.75" customHeight="1">
      <c r="A13" s="809"/>
      <c r="B13" s="809"/>
      <c r="C13" s="809"/>
      <c r="D13" s="812"/>
      <c r="E13" s="812"/>
      <c r="F13" s="789"/>
      <c r="G13" s="817"/>
      <c r="H13" s="817"/>
      <c r="I13" s="818"/>
    </row>
    <row r="14" spans="1:9" ht="12.75" customHeight="1">
      <c r="A14" s="809"/>
      <c r="B14" s="809"/>
      <c r="C14" s="809"/>
      <c r="D14" s="812"/>
      <c r="E14" s="812"/>
      <c r="F14" s="789"/>
      <c r="G14" s="817"/>
      <c r="H14" s="817"/>
      <c r="I14" s="818"/>
    </row>
    <row r="15" spans="1:9" ht="12.75" customHeight="1" thickBot="1">
      <c r="A15" s="810"/>
      <c r="B15" s="810"/>
      <c r="C15" s="810"/>
      <c r="D15" s="813"/>
      <c r="E15" s="813"/>
      <c r="F15" s="789"/>
      <c r="G15" s="817"/>
      <c r="H15" s="817"/>
      <c r="I15" s="818"/>
    </row>
    <row r="16" spans="1:9" ht="82.5" customHeight="1">
      <c r="A16" s="588" t="s">
        <v>162</v>
      </c>
      <c r="B16" s="539" t="s">
        <v>17</v>
      </c>
      <c r="C16" s="448" t="s">
        <v>18</v>
      </c>
      <c r="D16" s="176">
        <f>494.6+900.1+881.7+929.3+963.5+371.4+862.8+349.7+206.7+314.8+212.7+701.4+311.8+77.5+294.1+308.9+285.2+330</f>
        <v>8796.1999999999989</v>
      </c>
      <c r="E16" s="176">
        <f>525.6+965.4+875.1+350.7+719.3+399.3+997.3+968+870.9+162+298.9+323.2+192.6+285.2+317.4+74.6+343.4+267.7</f>
        <v>8936.6</v>
      </c>
      <c r="F16" s="777" t="s">
        <v>1137</v>
      </c>
      <c r="G16" s="796">
        <f>346+594+532+708+762+218+447+143+60+98+63+306+111+17+103+106+231+288</f>
        <v>5133</v>
      </c>
      <c r="H16" s="796">
        <f>356+663+463+179+390+314+815+705+423+135+146+144+137+284+178</f>
        <v>5332</v>
      </c>
      <c r="I16" s="583" t="s">
        <v>889</v>
      </c>
    </row>
    <row r="17" spans="1:9">
      <c r="A17" s="760" t="s">
        <v>170</v>
      </c>
      <c r="B17" s="761" t="s">
        <v>19</v>
      </c>
      <c r="C17" s="177" t="s">
        <v>20</v>
      </c>
      <c r="D17" s="178">
        <f>192.6+273.2+281.5+270.7+296+223.3+426.5+266.9+179.1+192+160.4+473.5+200.8+124.8+220.1+204.5+133.8+139.9</f>
        <v>4259.5999999999995</v>
      </c>
      <c r="E17" s="178">
        <f>217.2+274.4+269.2+305.7+453.3+362.1+261.4+285.3+390.5+108.5+201.8+192.1+111.9+224.4+185.9+108.2+149.4+130.9</f>
        <v>4232.2</v>
      </c>
      <c r="F17" s="778"/>
      <c r="G17" s="797"/>
      <c r="H17" s="797"/>
      <c r="I17" s="753" t="s">
        <v>21</v>
      </c>
    </row>
    <row r="18" spans="1:9" ht="36" customHeight="1">
      <c r="A18" s="760"/>
      <c r="B18" s="761"/>
      <c r="C18" s="574" t="s">
        <v>22</v>
      </c>
      <c r="D18" s="179">
        <f>7.7+4.8+6.3+5.7+8.4+6.6+3.7+3.2+3.7+3.4+15.2+3.6+1.2+5.4+15.5+2.4+3.3</f>
        <v>100.10000000000001</v>
      </c>
      <c r="E18" s="179">
        <f>5.3+2+2.2+13+2.2+4.7+2.5+5.4+1+15.4+2.8+1.5+3.1+3.1+0.3+4+1.7</f>
        <v>70.199999999999989</v>
      </c>
      <c r="F18" s="778"/>
      <c r="G18" s="797"/>
      <c r="H18" s="797"/>
      <c r="I18" s="753"/>
    </row>
    <row r="19" spans="1:9" ht="34.5" customHeight="1">
      <c r="A19" s="587" t="s">
        <v>23</v>
      </c>
      <c r="B19" s="574" t="s">
        <v>24</v>
      </c>
      <c r="C19" s="177" t="s">
        <v>18</v>
      </c>
      <c r="D19" s="178">
        <v>45.1</v>
      </c>
      <c r="E19" s="178">
        <v>45.1</v>
      </c>
      <c r="F19" s="600" t="s">
        <v>1138</v>
      </c>
      <c r="G19" s="603">
        <v>39</v>
      </c>
      <c r="H19" s="603">
        <v>35</v>
      </c>
      <c r="I19" s="514" t="s">
        <v>890</v>
      </c>
    </row>
    <row r="20" spans="1:9" ht="51" customHeight="1" thickBot="1">
      <c r="A20" s="54" t="s">
        <v>194</v>
      </c>
      <c r="B20" s="529" t="s">
        <v>398</v>
      </c>
      <c r="C20" s="579" t="s">
        <v>20</v>
      </c>
      <c r="D20" s="175">
        <v>5</v>
      </c>
      <c r="E20" s="175">
        <v>2.9</v>
      </c>
      <c r="F20" s="517" t="s">
        <v>399</v>
      </c>
      <c r="G20" s="512">
        <v>650</v>
      </c>
      <c r="H20" s="512">
        <v>600</v>
      </c>
      <c r="I20" s="508" t="s">
        <v>891</v>
      </c>
    </row>
    <row r="21" spans="1:9" ht="28.5" thickBot="1">
      <c r="A21" s="28" t="s">
        <v>25</v>
      </c>
      <c r="B21" s="126" t="s">
        <v>26</v>
      </c>
      <c r="C21" s="27"/>
      <c r="D21" s="128">
        <f>D22</f>
        <v>4334.2</v>
      </c>
      <c r="E21" s="128">
        <f>E22</f>
        <v>4156</v>
      </c>
      <c r="F21" s="779"/>
      <c r="G21" s="763"/>
      <c r="H21" s="763"/>
      <c r="I21" s="764"/>
    </row>
    <row r="22" spans="1:9">
      <c r="A22" s="765" t="s">
        <v>27</v>
      </c>
      <c r="B22" s="780" t="s">
        <v>28</v>
      </c>
      <c r="C22" s="780"/>
      <c r="D22" s="783">
        <f>D25+D26+D27</f>
        <v>4334.2</v>
      </c>
      <c r="E22" s="783">
        <f>E25+E26+E27</f>
        <v>4156</v>
      </c>
      <c r="F22" s="786"/>
      <c r="G22" s="787"/>
      <c r="H22" s="787"/>
      <c r="I22" s="788"/>
    </row>
    <row r="23" spans="1:9">
      <c r="A23" s="766"/>
      <c r="B23" s="781"/>
      <c r="C23" s="781"/>
      <c r="D23" s="784"/>
      <c r="E23" s="784"/>
      <c r="F23" s="789"/>
      <c r="G23" s="769"/>
      <c r="H23" s="769"/>
      <c r="I23" s="790"/>
    </row>
    <row r="24" spans="1:9" ht="15" thickBot="1">
      <c r="A24" s="766"/>
      <c r="B24" s="782"/>
      <c r="C24" s="782"/>
      <c r="D24" s="785"/>
      <c r="E24" s="785"/>
      <c r="F24" s="791"/>
      <c r="G24" s="770"/>
      <c r="H24" s="770"/>
      <c r="I24" s="792"/>
    </row>
    <row r="25" spans="1:9" ht="51.75" customHeight="1">
      <c r="A25" s="375" t="s">
        <v>29</v>
      </c>
      <c r="B25" s="589" t="s">
        <v>309</v>
      </c>
      <c r="C25" s="448" t="s">
        <v>18</v>
      </c>
      <c r="D25" s="180">
        <f>276+231.5+235.2+275.9+230.9+230.6+22</f>
        <v>1502.1</v>
      </c>
      <c r="E25" s="180">
        <f>225.7+275+280.1+234.1+226.1+229.7+21.3</f>
        <v>1492</v>
      </c>
      <c r="F25" s="777" t="s">
        <v>1137</v>
      </c>
      <c r="G25" s="796">
        <v>1370</v>
      </c>
      <c r="H25" s="796">
        <f>227+214+243+232+220+212+16</f>
        <v>1364</v>
      </c>
      <c r="I25" s="583" t="s">
        <v>30</v>
      </c>
    </row>
    <row r="26" spans="1:9" ht="26.25" customHeight="1">
      <c r="A26" s="748" t="s">
        <v>31</v>
      </c>
      <c r="B26" s="761" t="s">
        <v>32</v>
      </c>
      <c r="C26" s="177" t="s">
        <v>20</v>
      </c>
      <c r="D26" s="181">
        <f>435.8+321.2+292+433.8+300.9+337.1+146.1</f>
        <v>2266.8999999999996</v>
      </c>
      <c r="E26" s="181">
        <f>321.8+411.1+421.6+327.8+304.8+297.2+142.8</f>
        <v>2227.1</v>
      </c>
      <c r="F26" s="778"/>
      <c r="G26" s="797"/>
      <c r="H26" s="797"/>
      <c r="I26" s="753" t="s">
        <v>33</v>
      </c>
    </row>
    <row r="27" spans="1:9" ht="26.25" customHeight="1" thickBot="1">
      <c r="A27" s="697"/>
      <c r="B27" s="793"/>
      <c r="C27" s="578" t="s">
        <v>22</v>
      </c>
      <c r="D27" s="183">
        <f>84.9+100.1+96.4+94.7+97.2+82.8+9.1</f>
        <v>565.19999999999993</v>
      </c>
      <c r="E27" s="183">
        <f>73.9+58.9+73.8+80.5+71.2+72.7+5.9</f>
        <v>436.9</v>
      </c>
      <c r="F27" s="795"/>
      <c r="G27" s="798"/>
      <c r="H27" s="798"/>
      <c r="I27" s="747"/>
    </row>
    <row r="28" spans="1:9" ht="21" customHeight="1" thickBot="1">
      <c r="A28" s="28" t="s">
        <v>34</v>
      </c>
      <c r="B28" s="633" t="s">
        <v>35</v>
      </c>
      <c r="C28" s="634"/>
      <c r="D28" s="635">
        <f>D29+D45</f>
        <v>509.99999999999994</v>
      </c>
      <c r="E28" s="635">
        <f>E29+E45</f>
        <v>423.70000000000005</v>
      </c>
      <c r="F28" s="762"/>
      <c r="G28" s="763"/>
      <c r="H28" s="763"/>
      <c r="I28" s="764"/>
    </row>
    <row r="29" spans="1:9">
      <c r="A29" s="765" t="s">
        <v>36</v>
      </c>
      <c r="B29" s="768" t="s">
        <v>37</v>
      </c>
      <c r="C29" s="771"/>
      <c r="D29" s="774">
        <f>SUM(D32:D44)</f>
        <v>346.79999999999995</v>
      </c>
      <c r="E29" s="774">
        <f>SUM(E32:E44)</f>
        <v>261.60000000000002</v>
      </c>
      <c r="F29" s="794"/>
      <c r="G29" s="787"/>
      <c r="H29" s="787"/>
      <c r="I29" s="788"/>
    </row>
    <row r="30" spans="1:9" ht="18" customHeight="1">
      <c r="A30" s="766"/>
      <c r="B30" s="769"/>
      <c r="C30" s="772"/>
      <c r="D30" s="775"/>
      <c r="E30" s="775"/>
      <c r="F30" s="789"/>
      <c r="G30" s="769"/>
      <c r="H30" s="769"/>
      <c r="I30" s="790"/>
    </row>
    <row r="31" spans="1:9" ht="0.75" customHeight="1" thickBot="1">
      <c r="A31" s="767"/>
      <c r="B31" s="770"/>
      <c r="C31" s="773"/>
      <c r="D31" s="776"/>
      <c r="E31" s="776"/>
      <c r="F31" s="789"/>
      <c r="G31" s="769"/>
      <c r="H31" s="769"/>
      <c r="I31" s="790"/>
    </row>
    <row r="32" spans="1:9" ht="28">
      <c r="A32" s="698" t="s">
        <v>38</v>
      </c>
      <c r="B32" s="848" t="s">
        <v>310</v>
      </c>
      <c r="C32" s="657" t="s">
        <v>20</v>
      </c>
      <c r="D32" s="856">
        <v>17</v>
      </c>
      <c r="E32" s="856">
        <v>17</v>
      </c>
      <c r="F32" s="599" t="s">
        <v>311</v>
      </c>
      <c r="G32" s="269">
        <v>26</v>
      </c>
      <c r="H32" s="602">
        <v>28</v>
      </c>
      <c r="I32" s="746" t="s">
        <v>545</v>
      </c>
    </row>
    <row r="33" spans="1:14" ht="28">
      <c r="A33" s="724"/>
      <c r="B33" s="849"/>
      <c r="C33" s="678"/>
      <c r="D33" s="857"/>
      <c r="E33" s="857"/>
      <c r="F33" s="600" t="s">
        <v>1139</v>
      </c>
      <c r="G33" s="430">
        <v>825</v>
      </c>
      <c r="H33" s="603">
        <v>821</v>
      </c>
      <c r="I33" s="753"/>
    </row>
    <row r="34" spans="1:14" ht="28">
      <c r="A34" s="675" t="s">
        <v>39</v>
      </c>
      <c r="B34" s="677" t="s">
        <v>400</v>
      </c>
      <c r="C34" s="699" t="s">
        <v>20</v>
      </c>
      <c r="D34" s="735">
        <v>4.2</v>
      </c>
      <c r="E34" s="735">
        <v>4.2</v>
      </c>
      <c r="F34" s="600" t="s">
        <v>576</v>
      </c>
      <c r="G34" s="430">
        <v>1</v>
      </c>
      <c r="H34" s="603">
        <v>1</v>
      </c>
      <c r="I34" s="1047" t="s">
        <v>1042</v>
      </c>
    </row>
    <row r="35" spans="1:14" ht="42">
      <c r="A35" s="676"/>
      <c r="B35" s="678"/>
      <c r="C35" s="700"/>
      <c r="D35" s="733"/>
      <c r="E35" s="733"/>
      <c r="F35" s="600" t="s">
        <v>1041</v>
      </c>
      <c r="G35" s="430">
        <v>2</v>
      </c>
      <c r="H35" s="603">
        <v>4</v>
      </c>
      <c r="I35" s="1048"/>
    </row>
    <row r="36" spans="1:14" ht="28">
      <c r="A36" s="562" t="s">
        <v>40</v>
      </c>
      <c r="B36" s="597" t="s">
        <v>41</v>
      </c>
      <c r="C36" s="606" t="s">
        <v>20</v>
      </c>
      <c r="D36" s="184">
        <v>5.7</v>
      </c>
      <c r="E36" s="595">
        <v>2.6</v>
      </c>
      <c r="F36" s="600" t="s">
        <v>42</v>
      </c>
      <c r="G36" s="431">
        <v>482</v>
      </c>
      <c r="H36" s="185">
        <v>300</v>
      </c>
      <c r="I36" s="514" t="s">
        <v>43</v>
      </c>
    </row>
    <row r="37" spans="1:14" ht="42">
      <c r="A37" s="562" t="s">
        <v>44</v>
      </c>
      <c r="B37" s="597" t="s">
        <v>45</v>
      </c>
      <c r="C37" s="606" t="s">
        <v>20</v>
      </c>
      <c r="D37" s="184">
        <v>20</v>
      </c>
      <c r="E37" s="595">
        <v>24.1</v>
      </c>
      <c r="F37" s="600" t="s">
        <v>46</v>
      </c>
      <c r="G37" s="430">
        <v>19</v>
      </c>
      <c r="H37" s="603">
        <v>107</v>
      </c>
      <c r="I37" s="514" t="s">
        <v>47</v>
      </c>
      <c r="J37" s="476"/>
      <c r="K37" s="476"/>
      <c r="L37" s="476"/>
      <c r="M37" s="475"/>
    </row>
    <row r="38" spans="1:14" ht="28">
      <c r="A38" s="562" t="s">
        <v>48</v>
      </c>
      <c r="B38" s="597" t="s">
        <v>49</v>
      </c>
      <c r="C38" s="606" t="s">
        <v>20</v>
      </c>
      <c r="D38" s="186">
        <v>12</v>
      </c>
      <c r="E38" s="595">
        <v>12</v>
      </c>
      <c r="F38" s="516" t="s">
        <v>1140</v>
      </c>
      <c r="G38" s="432">
        <v>370</v>
      </c>
      <c r="H38" s="581">
        <v>360</v>
      </c>
      <c r="I38" s="514" t="s">
        <v>50</v>
      </c>
    </row>
    <row r="39" spans="1:14" ht="33.75" customHeight="1">
      <c r="A39" s="551" t="s">
        <v>51</v>
      </c>
      <c r="B39" s="528" t="s">
        <v>52</v>
      </c>
      <c r="C39" s="535" t="s">
        <v>20</v>
      </c>
      <c r="D39" s="533">
        <v>15</v>
      </c>
      <c r="E39" s="522">
        <v>14.5</v>
      </c>
      <c r="F39" s="187" t="s">
        <v>53</v>
      </c>
      <c r="G39" s="433">
        <v>17</v>
      </c>
      <c r="H39" s="443">
        <v>8</v>
      </c>
      <c r="I39" s="177" t="s">
        <v>54</v>
      </c>
      <c r="J39" s="476"/>
      <c r="K39" s="476"/>
      <c r="L39" s="476"/>
      <c r="M39" s="457"/>
      <c r="N39" s="471"/>
    </row>
    <row r="40" spans="1:14" ht="42">
      <c r="A40" s="562" t="s">
        <v>55</v>
      </c>
      <c r="B40" s="597" t="s">
        <v>577</v>
      </c>
      <c r="C40" s="606" t="s">
        <v>20</v>
      </c>
      <c r="D40" s="186">
        <v>8.6</v>
      </c>
      <c r="E40" s="595">
        <v>10.5</v>
      </c>
      <c r="F40" s="549" t="s">
        <v>578</v>
      </c>
      <c r="G40" s="270">
        <v>200</v>
      </c>
      <c r="H40" s="503">
        <v>250</v>
      </c>
      <c r="I40" s="514" t="s">
        <v>892</v>
      </c>
    </row>
    <row r="41" spans="1:14" ht="48.75" customHeight="1">
      <c r="A41" s="551" t="s">
        <v>56</v>
      </c>
      <c r="B41" s="528" t="s">
        <v>579</v>
      </c>
      <c r="C41" s="606" t="s">
        <v>20</v>
      </c>
      <c r="D41" s="186">
        <v>54.2</v>
      </c>
      <c r="E41" s="429">
        <v>0</v>
      </c>
      <c r="F41" s="516" t="s">
        <v>57</v>
      </c>
      <c r="G41" s="404">
        <v>9</v>
      </c>
      <c r="H41" s="511">
        <v>0</v>
      </c>
      <c r="I41" s="507" t="s">
        <v>1114</v>
      </c>
    </row>
    <row r="42" spans="1:14" ht="35.25" customHeight="1">
      <c r="A42" s="551" t="s">
        <v>58</v>
      </c>
      <c r="B42" s="528" t="s">
        <v>581</v>
      </c>
      <c r="C42" s="606" t="s">
        <v>67</v>
      </c>
      <c r="D42" s="186">
        <v>204.1</v>
      </c>
      <c r="E42" s="595">
        <v>157.9</v>
      </c>
      <c r="F42" s="516" t="s">
        <v>580</v>
      </c>
      <c r="G42" s="404">
        <v>33</v>
      </c>
      <c r="H42" s="511">
        <v>30</v>
      </c>
      <c r="I42" s="507" t="s">
        <v>582</v>
      </c>
    </row>
    <row r="43" spans="1:14" ht="31.5" customHeight="1">
      <c r="A43" s="562" t="s">
        <v>584</v>
      </c>
      <c r="B43" s="574" t="s">
        <v>59</v>
      </c>
      <c r="C43" s="606" t="s">
        <v>20</v>
      </c>
      <c r="D43" s="186">
        <v>6</v>
      </c>
      <c r="E43" s="595">
        <v>5.0999999999999996</v>
      </c>
      <c r="F43" s="600" t="s">
        <v>580</v>
      </c>
      <c r="G43" s="430">
        <v>20</v>
      </c>
      <c r="H43" s="603">
        <v>10</v>
      </c>
      <c r="I43" s="514" t="s">
        <v>1112</v>
      </c>
    </row>
    <row r="44" spans="1:14" ht="96" customHeight="1" thickBot="1">
      <c r="A44" s="552" t="s">
        <v>976</v>
      </c>
      <c r="B44" s="564" t="s">
        <v>977</v>
      </c>
      <c r="C44" s="536" t="s">
        <v>67</v>
      </c>
      <c r="D44" s="428">
        <v>0</v>
      </c>
      <c r="E44" s="524">
        <v>13.7</v>
      </c>
      <c r="F44" s="518" t="s">
        <v>1141</v>
      </c>
      <c r="G44" s="604">
        <v>0</v>
      </c>
      <c r="H44" s="604">
        <v>3</v>
      </c>
      <c r="I44" s="579" t="s">
        <v>1043</v>
      </c>
      <c r="J44" s="476"/>
      <c r="K44" s="476"/>
      <c r="L44" s="476"/>
      <c r="M44" s="476"/>
      <c r="N44" s="471"/>
    </row>
    <row r="45" spans="1:14" ht="34.5" customHeight="1" thickBot="1">
      <c r="A45" s="34" t="s">
        <v>60</v>
      </c>
      <c r="B45" s="35" t="s">
        <v>61</v>
      </c>
      <c r="C45" s="36"/>
      <c r="D45" s="129">
        <f>D46+D48+D51</f>
        <v>163.19999999999999</v>
      </c>
      <c r="E45" s="129">
        <f>E46+E48+E51</f>
        <v>162.1</v>
      </c>
      <c r="F45" s="819"/>
      <c r="G45" s="820"/>
      <c r="H45" s="820"/>
      <c r="I45" s="821"/>
    </row>
    <row r="46" spans="1:14" ht="44.25" customHeight="1">
      <c r="A46" s="681" t="s">
        <v>62</v>
      </c>
      <c r="B46" s="833" t="s">
        <v>583</v>
      </c>
      <c r="C46" s="835" t="s">
        <v>18</v>
      </c>
      <c r="D46" s="837">
        <v>92.3</v>
      </c>
      <c r="E46" s="837">
        <v>91.6</v>
      </c>
      <c r="F46" s="188" t="s">
        <v>982</v>
      </c>
      <c r="G46" s="189">
        <v>96</v>
      </c>
      <c r="H46" s="440">
        <v>500</v>
      </c>
      <c r="I46" s="687" t="s">
        <v>1113</v>
      </c>
    </row>
    <row r="47" spans="1:14" ht="33.75" customHeight="1">
      <c r="A47" s="724"/>
      <c r="B47" s="834"/>
      <c r="C47" s="836"/>
      <c r="D47" s="838"/>
      <c r="E47" s="838"/>
      <c r="F47" s="516" t="s">
        <v>983</v>
      </c>
      <c r="G47" s="511">
        <v>59</v>
      </c>
      <c r="H47" s="511">
        <v>21</v>
      </c>
      <c r="I47" s="688"/>
    </row>
    <row r="48" spans="1:14" ht="30" customHeight="1">
      <c r="A48" s="724" t="s">
        <v>63</v>
      </c>
      <c r="B48" s="839" t="s">
        <v>64</v>
      </c>
      <c r="C48" s="840" t="s">
        <v>20</v>
      </c>
      <c r="D48" s="734">
        <v>70.400000000000006</v>
      </c>
      <c r="E48" s="734">
        <f>162.1-91.6-0.5</f>
        <v>70</v>
      </c>
      <c r="F48" s="600" t="s">
        <v>1142</v>
      </c>
      <c r="G48" s="603">
        <v>672</v>
      </c>
      <c r="H48" s="603">
        <v>500</v>
      </c>
      <c r="I48" s="688"/>
    </row>
    <row r="49" spans="1:13" ht="29.25" customHeight="1">
      <c r="A49" s="675"/>
      <c r="B49" s="834"/>
      <c r="C49" s="836"/>
      <c r="D49" s="735"/>
      <c r="E49" s="735"/>
      <c r="F49" s="516" t="s">
        <v>1143</v>
      </c>
      <c r="G49" s="511">
        <v>142</v>
      </c>
      <c r="H49" s="511">
        <v>160</v>
      </c>
      <c r="I49" s="688"/>
    </row>
    <row r="50" spans="1:13" ht="28">
      <c r="A50" s="724"/>
      <c r="B50" s="839"/>
      <c r="C50" s="840"/>
      <c r="D50" s="734"/>
      <c r="E50" s="734"/>
      <c r="F50" s="600" t="s">
        <v>312</v>
      </c>
      <c r="G50" s="603">
        <v>5</v>
      </c>
      <c r="H50" s="603">
        <v>4</v>
      </c>
      <c r="I50" s="688"/>
    </row>
    <row r="51" spans="1:13" ht="28.5" thickBot="1">
      <c r="A51" s="553" t="s">
        <v>347</v>
      </c>
      <c r="B51" s="637" t="s">
        <v>1013</v>
      </c>
      <c r="C51" s="596" t="s">
        <v>20</v>
      </c>
      <c r="D51" s="638">
        <v>0.5</v>
      </c>
      <c r="E51" s="638">
        <v>0.5</v>
      </c>
      <c r="F51" s="585" t="s">
        <v>585</v>
      </c>
      <c r="G51" s="604">
        <v>1</v>
      </c>
      <c r="H51" s="604">
        <v>1</v>
      </c>
      <c r="I51" s="982"/>
      <c r="J51" s="656"/>
      <c r="K51" s="1039"/>
      <c r="L51" s="1039"/>
      <c r="M51" s="1039"/>
    </row>
    <row r="52" spans="1:13" ht="30" customHeight="1" thickBot="1">
      <c r="A52" s="28" t="s">
        <v>68</v>
      </c>
      <c r="B52" s="126" t="s">
        <v>69</v>
      </c>
      <c r="C52" s="350"/>
      <c r="D52" s="351">
        <f>D53+D58+D64+D70+D73</f>
        <v>3052.4000000000005</v>
      </c>
      <c r="E52" s="351">
        <f>E53+E58+E64+E70+E73</f>
        <v>3030.9000000000005</v>
      </c>
      <c r="F52" s="823"/>
      <c r="G52" s="824"/>
      <c r="H52" s="824"/>
      <c r="I52" s="825"/>
    </row>
    <row r="53" spans="1:13" ht="30" customHeight="1" thickBot="1">
      <c r="A53" s="37" t="s">
        <v>70</v>
      </c>
      <c r="B53" s="607" t="s">
        <v>401</v>
      </c>
      <c r="C53" s="38"/>
      <c r="D53" s="130">
        <f>D54+D56+D57</f>
        <v>1143.2</v>
      </c>
      <c r="E53" s="130">
        <f>E54+E56+E57</f>
        <v>1102.9000000000001</v>
      </c>
      <c r="F53" s="846"/>
      <c r="G53" s="815"/>
      <c r="H53" s="815"/>
      <c r="I53" s="816"/>
    </row>
    <row r="54" spans="1:13" ht="35.25" customHeight="1">
      <c r="A54" s="698" t="s">
        <v>71</v>
      </c>
      <c r="B54" s="847" t="s">
        <v>72</v>
      </c>
      <c r="C54" s="701" t="s">
        <v>20</v>
      </c>
      <c r="D54" s="703">
        <v>1086.7</v>
      </c>
      <c r="E54" s="851">
        <f>1055.4</f>
        <v>1055.4000000000001</v>
      </c>
      <c r="F54" s="599" t="s">
        <v>1107</v>
      </c>
      <c r="G54" s="602">
        <v>250000</v>
      </c>
      <c r="H54" s="602">
        <v>236000</v>
      </c>
      <c r="I54" s="746" t="s">
        <v>1084</v>
      </c>
    </row>
    <row r="55" spans="1:13" ht="32.25" customHeight="1">
      <c r="A55" s="748"/>
      <c r="B55" s="848"/>
      <c r="C55" s="850"/>
      <c r="D55" s="672"/>
      <c r="E55" s="852"/>
      <c r="F55" s="600" t="s">
        <v>402</v>
      </c>
      <c r="G55" s="603">
        <v>350</v>
      </c>
      <c r="H55" s="190">
        <v>650</v>
      </c>
      <c r="I55" s="753"/>
    </row>
    <row r="56" spans="1:13" ht="28">
      <c r="A56" s="748"/>
      <c r="B56" s="849"/>
      <c r="C56" s="606" t="s">
        <v>22</v>
      </c>
      <c r="D56" s="191">
        <v>42.5</v>
      </c>
      <c r="E56" s="182">
        <v>33.5</v>
      </c>
      <c r="F56" s="600" t="s">
        <v>403</v>
      </c>
      <c r="G56" s="603">
        <v>335</v>
      </c>
      <c r="H56" s="192">
        <v>380</v>
      </c>
      <c r="I56" s="753"/>
    </row>
    <row r="57" spans="1:13" ht="28.5" thickBot="1">
      <c r="A57" s="525" t="s">
        <v>73</v>
      </c>
      <c r="B57" s="349" t="s">
        <v>586</v>
      </c>
      <c r="C57" s="535" t="s">
        <v>20</v>
      </c>
      <c r="D57" s="566">
        <v>14</v>
      </c>
      <c r="E57" s="545">
        <v>14</v>
      </c>
      <c r="F57" s="516" t="s">
        <v>404</v>
      </c>
      <c r="G57" s="581">
        <v>15</v>
      </c>
      <c r="H57" s="581">
        <v>30</v>
      </c>
      <c r="I57" s="507" t="s">
        <v>570</v>
      </c>
    </row>
    <row r="58" spans="1:13" ht="30" customHeight="1" thickBot="1">
      <c r="A58" s="34" t="s">
        <v>75</v>
      </c>
      <c r="B58" s="39" t="s">
        <v>76</v>
      </c>
      <c r="C58" s="40"/>
      <c r="D58" s="131">
        <f>SUM(D59:D63)</f>
        <v>710.1</v>
      </c>
      <c r="E58" s="131">
        <f>SUM(E59:E63)</f>
        <v>721.7</v>
      </c>
      <c r="F58" s="853"/>
      <c r="G58" s="854"/>
      <c r="H58" s="854"/>
      <c r="I58" s="855"/>
    </row>
    <row r="59" spans="1:13" ht="28">
      <c r="A59" s="698" t="s">
        <v>77</v>
      </c>
      <c r="B59" s="844" t="s">
        <v>314</v>
      </c>
      <c r="C59" s="701" t="s">
        <v>20</v>
      </c>
      <c r="D59" s="703">
        <v>706.7</v>
      </c>
      <c r="E59" s="829">
        <f>733.6-3.4-1.9-10-3.6</f>
        <v>714.7</v>
      </c>
      <c r="F59" s="599" t="s">
        <v>1144</v>
      </c>
      <c r="G59" s="193">
        <v>12400</v>
      </c>
      <c r="H59" s="193">
        <v>12854</v>
      </c>
      <c r="I59" s="746" t="s">
        <v>1115</v>
      </c>
    </row>
    <row r="60" spans="1:13" ht="28">
      <c r="A60" s="698"/>
      <c r="B60" s="828"/>
      <c r="C60" s="700"/>
      <c r="D60" s="672"/>
      <c r="E60" s="733"/>
      <c r="F60" s="549" t="s">
        <v>1145</v>
      </c>
      <c r="G60" s="347">
        <v>165000</v>
      </c>
      <c r="H60" s="347">
        <v>173193</v>
      </c>
      <c r="I60" s="669"/>
    </row>
    <row r="61" spans="1:13" ht="34.5" customHeight="1">
      <c r="A61" s="698"/>
      <c r="B61" s="828"/>
      <c r="C61" s="231" t="s">
        <v>67</v>
      </c>
      <c r="D61" s="312">
        <v>0</v>
      </c>
      <c r="E61" s="233">
        <v>3.6</v>
      </c>
      <c r="F61" s="549" t="s">
        <v>405</v>
      </c>
      <c r="G61" s="347">
        <v>700</v>
      </c>
      <c r="H61" s="347">
        <v>1033</v>
      </c>
      <c r="I61" s="669"/>
    </row>
    <row r="62" spans="1:13" ht="45" customHeight="1">
      <c r="A62" s="748"/>
      <c r="B62" s="828"/>
      <c r="C62" s="699" t="s">
        <v>22</v>
      </c>
      <c r="D62" s="670">
        <v>3.4</v>
      </c>
      <c r="E62" s="735">
        <v>3.4</v>
      </c>
      <c r="F62" s="600" t="s">
        <v>406</v>
      </c>
      <c r="G62" s="185">
        <v>12000</v>
      </c>
      <c r="H62" s="185">
        <v>14162</v>
      </c>
      <c r="I62" s="753"/>
    </row>
    <row r="63" spans="1:13" ht="28.5" thickBot="1">
      <c r="A63" s="697"/>
      <c r="B63" s="828"/>
      <c r="C63" s="702"/>
      <c r="D63" s="704"/>
      <c r="E63" s="755"/>
      <c r="F63" s="601" t="s">
        <v>78</v>
      </c>
      <c r="G63" s="194">
        <v>1000</v>
      </c>
      <c r="H63" s="194">
        <v>1000</v>
      </c>
      <c r="I63" s="747"/>
    </row>
    <row r="64" spans="1:13" ht="28.5" customHeight="1" thickBot="1">
      <c r="A64" s="34" t="s">
        <v>79</v>
      </c>
      <c r="B64" s="35" t="s">
        <v>80</v>
      </c>
      <c r="C64" s="36"/>
      <c r="D64" s="132">
        <f>D65+D69</f>
        <v>130.19999999999999</v>
      </c>
      <c r="E64" s="132">
        <f>E65+E69</f>
        <v>128.4</v>
      </c>
      <c r="F64" s="822"/>
      <c r="G64" s="770"/>
      <c r="H64" s="770"/>
      <c r="I64" s="792"/>
    </row>
    <row r="65" spans="1:13" ht="30" customHeight="1">
      <c r="A65" s="865" t="s">
        <v>81</v>
      </c>
      <c r="B65" s="657" t="s">
        <v>82</v>
      </c>
      <c r="C65" s="701" t="s">
        <v>20</v>
      </c>
      <c r="D65" s="703">
        <v>124.7</v>
      </c>
      <c r="E65" s="829">
        <f>128.4-3.7</f>
        <v>124.7</v>
      </c>
      <c r="F65" s="188" t="s">
        <v>1146</v>
      </c>
      <c r="G65" s="602">
        <v>8500</v>
      </c>
      <c r="H65" s="602">
        <v>10902</v>
      </c>
      <c r="I65" s="663" t="s">
        <v>1085</v>
      </c>
    </row>
    <row r="66" spans="1:13" ht="28">
      <c r="A66" s="722"/>
      <c r="B66" s="716"/>
      <c r="C66" s="721"/>
      <c r="D66" s="671"/>
      <c r="E66" s="752"/>
      <c r="F66" s="600" t="s">
        <v>407</v>
      </c>
      <c r="G66" s="603">
        <v>20</v>
      </c>
      <c r="H66" s="603">
        <v>12</v>
      </c>
      <c r="I66" s="668"/>
    </row>
    <row r="67" spans="1:13" ht="34.5" customHeight="1">
      <c r="A67" s="722"/>
      <c r="B67" s="716"/>
      <c r="C67" s="721"/>
      <c r="D67" s="671"/>
      <c r="E67" s="752"/>
      <c r="F67" s="600" t="s">
        <v>408</v>
      </c>
      <c r="G67" s="603">
        <v>200</v>
      </c>
      <c r="H67" s="603">
        <v>213</v>
      </c>
      <c r="I67" s="668"/>
    </row>
    <row r="68" spans="1:13" ht="18.75" customHeight="1">
      <c r="A68" s="722"/>
      <c r="B68" s="716"/>
      <c r="C68" s="700"/>
      <c r="D68" s="672"/>
      <c r="E68" s="733"/>
      <c r="F68" s="600" t="s">
        <v>409</v>
      </c>
      <c r="G68" s="603">
        <v>56000</v>
      </c>
      <c r="H68" s="603">
        <v>56655</v>
      </c>
      <c r="I68" s="668"/>
    </row>
    <row r="69" spans="1:13" ht="35.25" customHeight="1" thickBot="1">
      <c r="A69" s="698"/>
      <c r="B69" s="678"/>
      <c r="C69" s="234" t="s">
        <v>22</v>
      </c>
      <c r="D69" s="352">
        <v>5.5</v>
      </c>
      <c r="E69" s="235">
        <v>3.7</v>
      </c>
      <c r="F69" s="600" t="s">
        <v>410</v>
      </c>
      <c r="G69" s="603">
        <v>10</v>
      </c>
      <c r="H69" s="603">
        <v>8</v>
      </c>
      <c r="I69" s="668"/>
    </row>
    <row r="70" spans="1:13" ht="16.5" customHeight="1" thickBot="1">
      <c r="A70" s="34" t="s">
        <v>83</v>
      </c>
      <c r="B70" s="35" t="s">
        <v>84</v>
      </c>
      <c r="C70" s="40"/>
      <c r="D70" s="131">
        <f>D71+D72</f>
        <v>47.2</v>
      </c>
      <c r="E70" s="131">
        <f>E71+E72</f>
        <v>47.2</v>
      </c>
      <c r="F70" s="846"/>
      <c r="G70" s="815"/>
      <c r="H70" s="815"/>
      <c r="I70" s="816"/>
    </row>
    <row r="71" spans="1:13" ht="28">
      <c r="A71" s="698" t="s">
        <v>85</v>
      </c>
      <c r="B71" s="844" t="s">
        <v>1086</v>
      </c>
      <c r="C71" s="262" t="s">
        <v>20</v>
      </c>
      <c r="D71" s="263">
        <v>45.1</v>
      </c>
      <c r="E71" s="264">
        <f>47.2-2.1</f>
        <v>45.1</v>
      </c>
      <c r="F71" s="599" t="s">
        <v>1109</v>
      </c>
      <c r="G71" s="602">
        <v>2000</v>
      </c>
      <c r="H71" s="602">
        <v>10000</v>
      </c>
      <c r="I71" s="921" t="s">
        <v>1087</v>
      </c>
    </row>
    <row r="72" spans="1:13" ht="28.5" thickBot="1">
      <c r="A72" s="697"/>
      <c r="B72" s="828"/>
      <c r="C72" s="251" t="s">
        <v>22</v>
      </c>
      <c r="D72" s="266">
        <v>2.1</v>
      </c>
      <c r="E72" s="253">
        <v>2.1</v>
      </c>
      <c r="F72" s="516" t="s">
        <v>412</v>
      </c>
      <c r="G72" s="511">
        <v>20</v>
      </c>
      <c r="H72" s="511">
        <v>25</v>
      </c>
      <c r="I72" s="922"/>
    </row>
    <row r="73" spans="1:13" ht="17.25" customHeight="1" thickBot="1">
      <c r="A73" s="34" t="s">
        <v>86</v>
      </c>
      <c r="B73" s="35" t="s">
        <v>587</v>
      </c>
      <c r="C73" s="40"/>
      <c r="D73" s="133">
        <f>D74+D75+D76</f>
        <v>1021.7</v>
      </c>
      <c r="E73" s="133">
        <f>E74+E75+E76</f>
        <v>1030.7</v>
      </c>
      <c r="F73" s="853"/>
      <c r="G73" s="820"/>
      <c r="H73" s="820"/>
      <c r="I73" s="821"/>
    </row>
    <row r="74" spans="1:13" ht="28">
      <c r="A74" s="698" t="s">
        <v>87</v>
      </c>
      <c r="B74" s="731" t="s">
        <v>88</v>
      </c>
      <c r="C74" s="530" t="s">
        <v>20</v>
      </c>
      <c r="D74" s="534">
        <v>866.4</v>
      </c>
      <c r="E74" s="195">
        <f>1030.7-47.4-62.1</f>
        <v>921.2</v>
      </c>
      <c r="F74" s="599" t="s">
        <v>588</v>
      </c>
      <c r="G74" s="602">
        <v>562</v>
      </c>
      <c r="H74" s="602">
        <v>557</v>
      </c>
      <c r="I74" s="746" t="s">
        <v>1116</v>
      </c>
    </row>
    <row r="75" spans="1:13" ht="61.5" customHeight="1">
      <c r="A75" s="748"/>
      <c r="B75" s="732"/>
      <c r="C75" s="574" t="s">
        <v>18</v>
      </c>
      <c r="D75" s="593">
        <v>84.1</v>
      </c>
      <c r="E75" s="196">
        <f>47.4</f>
        <v>47.4</v>
      </c>
      <c r="F75" s="600" t="s">
        <v>1044</v>
      </c>
      <c r="G75" s="603">
        <v>120</v>
      </c>
      <c r="H75" s="603">
        <v>91</v>
      </c>
      <c r="I75" s="753"/>
    </row>
    <row r="76" spans="1:13" ht="42.5" thickBot="1">
      <c r="A76" s="759"/>
      <c r="B76" s="864"/>
      <c r="C76" s="598" t="s">
        <v>22</v>
      </c>
      <c r="D76" s="225">
        <v>71.2</v>
      </c>
      <c r="E76" s="225">
        <v>62.1</v>
      </c>
      <c r="F76" s="601" t="s">
        <v>413</v>
      </c>
      <c r="G76" s="604">
        <v>2</v>
      </c>
      <c r="H76" s="604">
        <v>2</v>
      </c>
      <c r="I76" s="747"/>
    </row>
    <row r="77" spans="1:13" ht="51" customHeight="1" thickBot="1">
      <c r="A77" s="28" t="s">
        <v>89</v>
      </c>
      <c r="B77" s="32" t="s">
        <v>589</v>
      </c>
      <c r="C77" s="33"/>
      <c r="D77" s="134">
        <f>D78+D84+D92</f>
        <v>1649.5</v>
      </c>
      <c r="E77" s="134">
        <f>E78+E84+E92</f>
        <v>1563.6</v>
      </c>
      <c r="F77" s="858"/>
      <c r="G77" s="859"/>
      <c r="H77" s="859"/>
      <c r="I77" s="860"/>
    </row>
    <row r="78" spans="1:13" ht="21" customHeight="1" thickBot="1">
      <c r="A78" s="34" t="s">
        <v>90</v>
      </c>
      <c r="B78" s="35" t="s">
        <v>590</v>
      </c>
      <c r="C78" s="36"/>
      <c r="D78" s="132">
        <f>D79+D80+D81</f>
        <v>966.8</v>
      </c>
      <c r="E78" s="132">
        <f>E79+E80+E81</f>
        <v>853.1</v>
      </c>
      <c r="F78" s="861"/>
      <c r="G78" s="862"/>
      <c r="H78" s="862"/>
      <c r="I78" s="863"/>
    </row>
    <row r="79" spans="1:13" ht="30.75" customHeight="1">
      <c r="A79" s="698" t="s">
        <v>91</v>
      </c>
      <c r="B79" s="844" t="s">
        <v>591</v>
      </c>
      <c r="C79" s="590" t="s">
        <v>20</v>
      </c>
      <c r="D79" s="198">
        <v>745.4</v>
      </c>
      <c r="E79" s="594">
        <f>1513-41.5-659.9-52.9</f>
        <v>758.7</v>
      </c>
      <c r="F79" s="199" t="s">
        <v>414</v>
      </c>
      <c r="G79" s="602">
        <v>7</v>
      </c>
      <c r="H79" s="602">
        <v>7</v>
      </c>
      <c r="I79" s="663" t="s">
        <v>1088</v>
      </c>
      <c r="J79" s="476"/>
      <c r="K79" s="476"/>
      <c r="L79" s="476"/>
      <c r="M79" s="476"/>
    </row>
    <row r="80" spans="1:13" ht="31">
      <c r="A80" s="748"/>
      <c r="B80" s="828"/>
      <c r="C80" s="606" t="s">
        <v>18</v>
      </c>
      <c r="D80" s="191">
        <v>54.4</v>
      </c>
      <c r="E80" s="595">
        <f>41.5</f>
        <v>41.5</v>
      </c>
      <c r="F80" s="200" t="s">
        <v>592</v>
      </c>
      <c r="G80" s="603">
        <v>500</v>
      </c>
      <c r="H80" s="603">
        <v>542</v>
      </c>
      <c r="I80" s="668"/>
      <c r="J80" s="476"/>
      <c r="K80" s="476"/>
      <c r="L80" s="476"/>
      <c r="M80" s="476"/>
    </row>
    <row r="81" spans="1:14" ht="31">
      <c r="A81" s="748"/>
      <c r="B81" s="828"/>
      <c r="C81" s="699" t="s">
        <v>22</v>
      </c>
      <c r="D81" s="670">
        <v>167</v>
      </c>
      <c r="E81" s="735">
        <v>52.9</v>
      </c>
      <c r="F81" s="201" t="s">
        <v>415</v>
      </c>
      <c r="G81" s="603">
        <v>350</v>
      </c>
      <c r="H81" s="603">
        <v>390</v>
      </c>
      <c r="I81" s="668"/>
      <c r="J81" s="476"/>
      <c r="K81" s="476"/>
      <c r="L81" s="476"/>
      <c r="M81" s="476"/>
    </row>
    <row r="82" spans="1:14" ht="15.5">
      <c r="A82" s="748"/>
      <c r="B82" s="828"/>
      <c r="C82" s="754"/>
      <c r="D82" s="752"/>
      <c r="E82" s="752"/>
      <c r="F82" s="200" t="s">
        <v>593</v>
      </c>
      <c r="G82" s="603">
        <v>2600</v>
      </c>
      <c r="H82" s="603">
        <v>2650</v>
      </c>
      <c r="I82" s="668"/>
      <c r="J82" s="476"/>
      <c r="K82" s="476"/>
      <c r="L82" s="476"/>
      <c r="M82" s="476"/>
    </row>
    <row r="83" spans="1:14" ht="16.5" customHeight="1" thickBot="1">
      <c r="A83" s="697"/>
      <c r="B83" s="845"/>
      <c r="C83" s="723"/>
      <c r="D83" s="755"/>
      <c r="E83" s="755"/>
      <c r="F83" s="202" t="s">
        <v>416</v>
      </c>
      <c r="G83" s="604">
        <v>14</v>
      </c>
      <c r="H83" s="604">
        <v>15</v>
      </c>
      <c r="I83" s="664"/>
    </row>
    <row r="84" spans="1:14" ht="28.5" thickBot="1">
      <c r="A84" s="34" t="s">
        <v>92</v>
      </c>
      <c r="B84" s="34" t="s">
        <v>594</v>
      </c>
      <c r="C84" s="36"/>
      <c r="D84" s="132">
        <f>D85+D88+D90</f>
        <v>632</v>
      </c>
      <c r="E84" s="132">
        <f>E85+E88+E90</f>
        <v>659.9</v>
      </c>
      <c r="F84" s="866"/>
      <c r="G84" s="854"/>
      <c r="H84" s="854"/>
      <c r="I84" s="855"/>
    </row>
    <row r="85" spans="1:14" ht="46.5">
      <c r="A85" s="698" t="s">
        <v>93</v>
      </c>
      <c r="B85" s="716" t="s">
        <v>595</v>
      </c>
      <c r="C85" s="867" t="s">
        <v>20</v>
      </c>
      <c r="D85" s="882">
        <v>297</v>
      </c>
      <c r="E85" s="837">
        <f>659.9-329.5-21.5</f>
        <v>308.89999999999998</v>
      </c>
      <c r="F85" s="203" t="s">
        <v>598</v>
      </c>
      <c r="G85" s="347">
        <v>1200</v>
      </c>
      <c r="H85" s="347">
        <v>1124</v>
      </c>
      <c r="I85" s="663" t="s">
        <v>894</v>
      </c>
    </row>
    <row r="86" spans="1:14" ht="46.5">
      <c r="A86" s="698"/>
      <c r="B86" s="716"/>
      <c r="C86" s="867"/>
      <c r="D86" s="882"/>
      <c r="E86" s="882"/>
      <c r="F86" s="200" t="s">
        <v>599</v>
      </c>
      <c r="G86" s="347">
        <v>25</v>
      </c>
      <c r="H86" s="347">
        <v>46</v>
      </c>
      <c r="I86" s="668"/>
    </row>
    <row r="87" spans="1:14" ht="31">
      <c r="A87" s="724"/>
      <c r="B87" s="678"/>
      <c r="C87" s="850"/>
      <c r="D87" s="733"/>
      <c r="E87" s="733"/>
      <c r="F87" s="200" t="s">
        <v>417</v>
      </c>
      <c r="G87" s="185">
        <v>9</v>
      </c>
      <c r="H87" s="185">
        <v>8</v>
      </c>
      <c r="I87" s="669"/>
    </row>
    <row r="88" spans="1:14" ht="28">
      <c r="A88" s="724" t="s">
        <v>94</v>
      </c>
      <c r="B88" s="677" t="s">
        <v>596</v>
      </c>
      <c r="C88" s="699" t="s">
        <v>20</v>
      </c>
      <c r="D88" s="670">
        <v>35</v>
      </c>
      <c r="E88" s="735">
        <v>21.5</v>
      </c>
      <c r="F88" s="204" t="s">
        <v>1147</v>
      </c>
      <c r="G88" s="185">
        <v>20</v>
      </c>
      <c r="H88" s="185">
        <v>21</v>
      </c>
      <c r="I88" s="914" t="s">
        <v>95</v>
      </c>
    </row>
    <row r="89" spans="1:14" ht="42">
      <c r="A89" s="724"/>
      <c r="B89" s="678"/>
      <c r="C89" s="850"/>
      <c r="D89" s="733"/>
      <c r="E89" s="733"/>
      <c r="F89" s="205" t="s">
        <v>1148</v>
      </c>
      <c r="G89" s="185">
        <v>18</v>
      </c>
      <c r="H89" s="185">
        <v>39</v>
      </c>
      <c r="I89" s="915"/>
    </row>
    <row r="90" spans="1:14" ht="42">
      <c r="A90" s="675" t="s">
        <v>96</v>
      </c>
      <c r="B90" s="677" t="s">
        <v>597</v>
      </c>
      <c r="C90" s="699" t="s">
        <v>20</v>
      </c>
      <c r="D90" s="670">
        <v>300</v>
      </c>
      <c r="E90" s="735">
        <v>329.5</v>
      </c>
      <c r="F90" s="206" t="s">
        <v>97</v>
      </c>
      <c r="G90" s="581">
        <v>37</v>
      </c>
      <c r="H90" s="581">
        <v>32</v>
      </c>
      <c r="I90" s="667" t="s">
        <v>893</v>
      </c>
    </row>
    <row r="91" spans="1:14" ht="28.5" thickBot="1">
      <c r="A91" s="691"/>
      <c r="B91" s="658"/>
      <c r="C91" s="702"/>
      <c r="D91" s="704"/>
      <c r="E91" s="755"/>
      <c r="F91" s="207" t="s">
        <v>418</v>
      </c>
      <c r="G91" s="194">
        <v>1</v>
      </c>
      <c r="H91" s="194">
        <v>1</v>
      </c>
      <c r="I91" s="664"/>
    </row>
    <row r="92" spans="1:14" ht="37.5" customHeight="1" thickBot="1">
      <c r="A92" s="34" t="s">
        <v>315</v>
      </c>
      <c r="B92" s="34" t="s">
        <v>316</v>
      </c>
      <c r="C92" s="36"/>
      <c r="D92" s="132">
        <f>D93</f>
        <v>50.7</v>
      </c>
      <c r="E92" s="132">
        <f>E93</f>
        <v>50.6</v>
      </c>
      <c r="F92" s="822"/>
      <c r="G92" s="894"/>
      <c r="H92" s="894"/>
      <c r="I92" s="895"/>
    </row>
    <row r="93" spans="1:14" ht="30" customHeight="1">
      <c r="A93" s="865" t="s">
        <v>317</v>
      </c>
      <c r="B93" s="657" t="s">
        <v>600</v>
      </c>
      <c r="C93" s="869" t="s">
        <v>20</v>
      </c>
      <c r="D93" s="837">
        <v>50.7</v>
      </c>
      <c r="E93" s="872">
        <v>50.6</v>
      </c>
      <c r="F93" s="188" t="s">
        <v>419</v>
      </c>
      <c r="G93" s="193">
        <v>8</v>
      </c>
      <c r="H93" s="193">
        <v>8</v>
      </c>
      <c r="I93" s="663" t="s">
        <v>1117</v>
      </c>
      <c r="J93" s="476"/>
      <c r="K93" s="476"/>
      <c r="L93" s="476"/>
      <c r="M93" s="457"/>
      <c r="N93" s="471"/>
    </row>
    <row r="94" spans="1:14" ht="15" thickBot="1">
      <c r="A94" s="868"/>
      <c r="B94" s="658"/>
      <c r="C94" s="870"/>
      <c r="D94" s="871"/>
      <c r="E94" s="873"/>
      <c r="F94" s="208" t="s">
        <v>601</v>
      </c>
      <c r="G94" s="194">
        <v>8</v>
      </c>
      <c r="H94" s="194">
        <v>7</v>
      </c>
      <c r="I94" s="664"/>
      <c r="J94" s="476"/>
      <c r="K94" s="476"/>
      <c r="L94" s="476"/>
      <c r="M94" s="457"/>
      <c r="N94" s="471"/>
    </row>
    <row r="95" spans="1:14" ht="24.75" customHeight="1" thickBot="1">
      <c r="A95" s="41" t="s">
        <v>25</v>
      </c>
      <c r="B95" s="42" t="s">
        <v>318</v>
      </c>
      <c r="C95" s="43"/>
      <c r="D95" s="141">
        <f>D96+D117+D159+D167+D174</f>
        <v>17534</v>
      </c>
      <c r="E95" s="141">
        <f>E96+E117+E159+E167+E174</f>
        <v>17278.830000000002</v>
      </c>
      <c r="F95" s="138"/>
      <c r="G95" s="139"/>
      <c r="H95" s="139"/>
      <c r="I95" s="140"/>
    </row>
    <row r="96" spans="1:14" ht="28.5" thickBot="1">
      <c r="A96" s="44" t="s">
        <v>98</v>
      </c>
      <c r="B96" s="45" t="s">
        <v>420</v>
      </c>
      <c r="C96" s="46"/>
      <c r="D96" s="142">
        <f>D97+D108+D115</f>
        <v>9634.9</v>
      </c>
      <c r="E96" s="142">
        <f>E97+E108+E115</f>
        <v>9764.9300000000021</v>
      </c>
      <c r="F96" s="926"/>
      <c r="G96" s="718"/>
      <c r="H96" s="718"/>
      <c r="I96" s="719"/>
    </row>
    <row r="97" spans="1:17" ht="30" customHeight="1">
      <c r="A97" s="886" t="s">
        <v>161</v>
      </c>
      <c r="B97" s="888" t="s">
        <v>421</v>
      </c>
      <c r="C97" s="890"/>
      <c r="D97" s="892">
        <f>SUM(D99:D107)</f>
        <v>9034</v>
      </c>
      <c r="E97" s="892">
        <f>SUM(E99:E107)</f>
        <v>9134.630000000001</v>
      </c>
      <c r="F97" s="883"/>
      <c r="G97" s="884"/>
      <c r="H97" s="884"/>
      <c r="I97" s="885"/>
    </row>
    <row r="98" spans="1:17" ht="30" customHeight="1" thickBot="1">
      <c r="A98" s="887"/>
      <c r="B98" s="889"/>
      <c r="C98" s="891"/>
      <c r="D98" s="893"/>
      <c r="E98" s="893"/>
      <c r="F98" s="911"/>
      <c r="G98" s="912"/>
      <c r="H98" s="912"/>
      <c r="I98" s="913"/>
    </row>
    <row r="99" spans="1:17" ht="17.25" customHeight="1">
      <c r="A99" s="841" t="s">
        <v>162</v>
      </c>
      <c r="B99" s="657" t="s">
        <v>99</v>
      </c>
      <c r="C99" s="590" t="s">
        <v>100</v>
      </c>
      <c r="D99" s="592">
        <v>240</v>
      </c>
      <c r="E99" s="594">
        <f>178.07+25.53</f>
        <v>203.6</v>
      </c>
      <c r="F99" s="659" t="s">
        <v>374</v>
      </c>
      <c r="G99" s="910">
        <v>445</v>
      </c>
      <c r="H99" s="910">
        <f>426+44</f>
        <v>470</v>
      </c>
      <c r="I99" s="663" t="s">
        <v>984</v>
      </c>
    </row>
    <row r="100" spans="1:17" ht="17.25" customHeight="1">
      <c r="A100" s="676"/>
      <c r="B100" s="678"/>
      <c r="C100" s="537" t="s">
        <v>20</v>
      </c>
      <c r="D100" s="534">
        <v>30</v>
      </c>
      <c r="E100" s="538">
        <v>29.2</v>
      </c>
      <c r="F100" s="728"/>
      <c r="G100" s="745"/>
      <c r="H100" s="745"/>
      <c r="I100" s="669"/>
    </row>
    <row r="101" spans="1:17" ht="42">
      <c r="A101" s="559" t="s">
        <v>170</v>
      </c>
      <c r="B101" s="565" t="s">
        <v>101</v>
      </c>
      <c r="C101" s="537" t="s">
        <v>100</v>
      </c>
      <c r="D101" s="534">
        <v>4843.3</v>
      </c>
      <c r="E101" s="538">
        <f>5304.45+32.07+2.04+65.22</f>
        <v>5403.78</v>
      </c>
      <c r="F101" s="549" t="s">
        <v>1149</v>
      </c>
      <c r="G101" s="347">
        <v>8450</v>
      </c>
      <c r="H101" s="347">
        <f>8488+1+20</f>
        <v>8509</v>
      </c>
      <c r="I101" s="509" t="s">
        <v>985</v>
      </c>
    </row>
    <row r="102" spans="1:17" ht="28">
      <c r="A102" s="562" t="s">
        <v>23</v>
      </c>
      <c r="B102" s="586" t="s">
        <v>102</v>
      </c>
      <c r="C102" s="606" t="s">
        <v>100</v>
      </c>
      <c r="D102" s="593">
        <v>1.2</v>
      </c>
      <c r="E102" s="595">
        <v>0.41</v>
      </c>
      <c r="F102" s="600" t="s">
        <v>1150</v>
      </c>
      <c r="G102" s="185">
        <v>4</v>
      </c>
      <c r="H102" s="185">
        <v>1</v>
      </c>
      <c r="I102" s="514" t="s">
        <v>103</v>
      </c>
    </row>
    <row r="103" spans="1:17" ht="28">
      <c r="A103" s="562" t="s">
        <v>194</v>
      </c>
      <c r="B103" s="574" t="s">
        <v>104</v>
      </c>
      <c r="C103" s="606" t="s">
        <v>100</v>
      </c>
      <c r="D103" s="593">
        <v>694</v>
      </c>
      <c r="E103" s="595">
        <v>548.29999999999995</v>
      </c>
      <c r="F103" s="586" t="s">
        <v>602</v>
      </c>
      <c r="G103" s="185">
        <v>285</v>
      </c>
      <c r="H103" s="431">
        <v>263</v>
      </c>
      <c r="I103" s="514" t="s">
        <v>986</v>
      </c>
    </row>
    <row r="104" spans="1:17" ht="35.25" customHeight="1">
      <c r="A104" s="562" t="s">
        <v>195</v>
      </c>
      <c r="B104" s="586" t="s">
        <v>105</v>
      </c>
      <c r="C104" s="606" t="s">
        <v>100</v>
      </c>
      <c r="D104" s="593">
        <v>84</v>
      </c>
      <c r="E104" s="595">
        <v>64.680000000000007</v>
      </c>
      <c r="F104" s="586" t="s">
        <v>603</v>
      </c>
      <c r="G104" s="185">
        <v>40</v>
      </c>
      <c r="H104" s="431">
        <v>46</v>
      </c>
      <c r="I104" s="578" t="s">
        <v>106</v>
      </c>
      <c r="J104" s="476"/>
      <c r="K104" s="476"/>
      <c r="L104" s="476"/>
      <c r="M104" s="476"/>
      <c r="N104" s="476"/>
      <c r="O104" s="476"/>
      <c r="P104" s="476"/>
      <c r="Q104" s="476"/>
    </row>
    <row r="105" spans="1:17" ht="28">
      <c r="A105" s="562" t="s">
        <v>196</v>
      </c>
      <c r="B105" s="586" t="s">
        <v>107</v>
      </c>
      <c r="C105" s="606" t="s">
        <v>100</v>
      </c>
      <c r="D105" s="593">
        <v>12</v>
      </c>
      <c r="E105" s="595">
        <v>5.93</v>
      </c>
      <c r="F105" s="586" t="s">
        <v>604</v>
      </c>
      <c r="G105" s="185">
        <v>93</v>
      </c>
      <c r="H105" s="431">
        <v>78</v>
      </c>
      <c r="I105" s="578" t="s">
        <v>108</v>
      </c>
    </row>
    <row r="106" spans="1:17" ht="38.25" customHeight="1">
      <c r="A106" s="562" t="s">
        <v>258</v>
      </c>
      <c r="B106" s="586" t="s">
        <v>605</v>
      </c>
      <c r="C106" s="606" t="s">
        <v>100</v>
      </c>
      <c r="D106" s="593">
        <v>3129.4</v>
      </c>
      <c r="E106" s="595">
        <f>2827.76+50.12+0.76</f>
        <v>2878.6400000000003</v>
      </c>
      <c r="F106" s="516" t="s">
        <v>606</v>
      </c>
      <c r="G106" s="511">
        <v>850</v>
      </c>
      <c r="H106" s="511">
        <f>1018+759</f>
        <v>1777</v>
      </c>
      <c r="I106" s="578" t="s">
        <v>109</v>
      </c>
      <c r="J106" s="476"/>
      <c r="K106" s="476"/>
      <c r="L106" s="476"/>
      <c r="M106" s="457"/>
      <c r="N106" s="471"/>
    </row>
    <row r="107" spans="1:17" ht="28.5" thickBot="1">
      <c r="A107" s="562" t="s">
        <v>110</v>
      </c>
      <c r="B107" s="586" t="s">
        <v>111</v>
      </c>
      <c r="C107" s="606" t="s">
        <v>100</v>
      </c>
      <c r="D107" s="593">
        <v>0.1</v>
      </c>
      <c r="E107" s="595">
        <v>0.09</v>
      </c>
      <c r="F107" s="600" t="s">
        <v>607</v>
      </c>
      <c r="G107" s="185">
        <v>2</v>
      </c>
      <c r="H107" s="185">
        <v>1</v>
      </c>
      <c r="I107" s="578" t="s">
        <v>546</v>
      </c>
    </row>
    <row r="108" spans="1:17" ht="47.25" customHeight="1" thickBot="1">
      <c r="A108" s="570" t="s">
        <v>112</v>
      </c>
      <c r="B108" s="571" t="s">
        <v>113</v>
      </c>
      <c r="C108" s="572"/>
      <c r="D108" s="573">
        <f>SUM(D109:D114)</f>
        <v>565</v>
      </c>
      <c r="E108" s="573">
        <f>SUM(E109:E114)</f>
        <v>600.70000000000005</v>
      </c>
      <c r="F108" s="883"/>
      <c r="G108" s="884"/>
      <c r="H108" s="884"/>
      <c r="I108" s="885"/>
    </row>
    <row r="109" spans="1:17" ht="28">
      <c r="A109" s="375" t="s">
        <v>114</v>
      </c>
      <c r="B109" s="209" t="s">
        <v>422</v>
      </c>
      <c r="C109" s="590" t="s">
        <v>20</v>
      </c>
      <c r="D109" s="592">
        <v>40</v>
      </c>
      <c r="E109" s="594">
        <v>68</v>
      </c>
      <c r="F109" s="230" t="s">
        <v>608</v>
      </c>
      <c r="G109" s="189">
        <v>160</v>
      </c>
      <c r="H109" s="441">
        <v>231</v>
      </c>
      <c r="I109" s="583" t="s">
        <v>547</v>
      </c>
      <c r="J109" s="476"/>
      <c r="K109" s="476"/>
      <c r="L109" s="476"/>
      <c r="M109" s="457"/>
      <c r="N109" s="471"/>
    </row>
    <row r="110" spans="1:17" ht="28">
      <c r="A110" s="559" t="s">
        <v>115</v>
      </c>
      <c r="B110" s="565" t="s">
        <v>609</v>
      </c>
      <c r="C110" s="537" t="s">
        <v>20</v>
      </c>
      <c r="D110" s="534">
        <v>3</v>
      </c>
      <c r="E110" s="538">
        <v>4.2</v>
      </c>
      <c r="F110" s="204" t="s">
        <v>610</v>
      </c>
      <c r="G110" s="503">
        <v>4</v>
      </c>
      <c r="H110" s="503">
        <v>4</v>
      </c>
      <c r="I110" s="580" t="s">
        <v>548</v>
      </c>
      <c r="J110" s="476"/>
      <c r="K110" s="476"/>
      <c r="L110" s="476"/>
      <c r="M110" s="457"/>
      <c r="N110" s="471"/>
    </row>
    <row r="111" spans="1:17" ht="36" customHeight="1">
      <c r="A111" s="562" t="s">
        <v>117</v>
      </c>
      <c r="B111" s="586" t="s">
        <v>611</v>
      </c>
      <c r="C111" s="606" t="s">
        <v>20</v>
      </c>
      <c r="D111" s="593">
        <v>15</v>
      </c>
      <c r="E111" s="595">
        <v>15</v>
      </c>
      <c r="F111" s="205" t="s">
        <v>1110</v>
      </c>
      <c r="G111" s="185">
        <v>1</v>
      </c>
      <c r="H111" s="185">
        <v>1</v>
      </c>
      <c r="I111" s="177" t="s">
        <v>116</v>
      </c>
    </row>
    <row r="112" spans="1:17" ht="28">
      <c r="A112" s="562" t="s">
        <v>119</v>
      </c>
      <c r="B112" s="586" t="s">
        <v>118</v>
      </c>
      <c r="C112" s="535" t="s">
        <v>18</v>
      </c>
      <c r="D112" s="593">
        <f>12.8+11.2+21.9+17.6+11.9+19+14+9.7+11.4+10.3+46.3+10.3+0.4+7.3+8.7+7.4+8.1+2+0.8+0.9+2.6+0.9+1.2</f>
        <v>236.70000000000005</v>
      </c>
      <c r="E112" s="593">
        <f>0.8+1+1.2+1.3+1+0.7+2+10.4+18.4+39.5+18.2+19.4+18.7+15.2+5.8+11.8+14.4+5.9+9.9+12.7+0.2+9.1+8.8+2.1</f>
        <v>228.5</v>
      </c>
      <c r="F112" s="205" t="s">
        <v>612</v>
      </c>
      <c r="G112" s="442">
        <v>1366</v>
      </c>
      <c r="H112" s="443">
        <f>31+7+9+9+10+10+6+41+68+84+286+115+137+111+100+58+49+64+39+51+43</f>
        <v>1328</v>
      </c>
      <c r="I112" s="177" t="s">
        <v>972</v>
      </c>
    </row>
    <row r="113" spans="1:13" ht="42">
      <c r="A113" s="562" t="s">
        <v>219</v>
      </c>
      <c r="B113" s="586" t="s">
        <v>613</v>
      </c>
      <c r="C113" s="535" t="s">
        <v>18</v>
      </c>
      <c r="D113" s="533">
        <v>60.1</v>
      </c>
      <c r="E113" s="522">
        <v>81.5</v>
      </c>
      <c r="F113" s="206" t="s">
        <v>616</v>
      </c>
      <c r="G113" s="581">
        <v>1200</v>
      </c>
      <c r="H113" s="581">
        <v>1072</v>
      </c>
      <c r="I113" s="578" t="s">
        <v>968</v>
      </c>
    </row>
    <row r="114" spans="1:13" ht="42.5" thickBot="1">
      <c r="A114" s="562" t="s">
        <v>222</v>
      </c>
      <c r="B114" s="212" t="s">
        <v>614</v>
      </c>
      <c r="C114" s="213" t="s">
        <v>18</v>
      </c>
      <c r="D114" s="225">
        <v>210.2</v>
      </c>
      <c r="E114" s="214">
        <v>203.5</v>
      </c>
      <c r="F114" s="207" t="s">
        <v>615</v>
      </c>
      <c r="G114" s="604">
        <v>630</v>
      </c>
      <c r="H114" s="604">
        <f>606+10</f>
        <v>616</v>
      </c>
      <c r="I114" s="444" t="s">
        <v>987</v>
      </c>
    </row>
    <row r="115" spans="1:13" ht="15" thickBot="1">
      <c r="A115" s="50" t="s">
        <v>120</v>
      </c>
      <c r="B115" s="48" t="s">
        <v>617</v>
      </c>
      <c r="C115" s="49"/>
      <c r="D115" s="144">
        <f>D116</f>
        <v>35.9</v>
      </c>
      <c r="E115" s="144">
        <f>E116</f>
        <v>29.6</v>
      </c>
      <c r="F115" s="933"/>
      <c r="G115" s="884"/>
      <c r="H115" s="884"/>
      <c r="I115" s="885"/>
    </row>
    <row r="116" spans="1:13" ht="28.5" thickBot="1">
      <c r="A116" s="559" t="s">
        <v>121</v>
      </c>
      <c r="B116" s="215" t="s">
        <v>122</v>
      </c>
      <c r="C116" s="216" t="s">
        <v>20</v>
      </c>
      <c r="D116" s="217">
        <v>35.9</v>
      </c>
      <c r="E116" s="218">
        <v>29.6</v>
      </c>
      <c r="F116" s="219" t="s">
        <v>123</v>
      </c>
      <c r="G116" s="220">
        <v>13338</v>
      </c>
      <c r="H116" s="221">
        <v>13320</v>
      </c>
      <c r="I116" s="445" t="s">
        <v>124</v>
      </c>
    </row>
    <row r="117" spans="1:13" ht="42.5" thickBot="1">
      <c r="A117" s="44" t="s">
        <v>25</v>
      </c>
      <c r="B117" s="51" t="s">
        <v>125</v>
      </c>
      <c r="C117" s="52"/>
      <c r="D117" s="143">
        <f>D118+D129+D133+D150+D154+D157</f>
        <v>3382.3</v>
      </c>
      <c r="E117" s="143">
        <f>E118+E129+E133+E150+E154+E157</f>
        <v>3365.0000000000009</v>
      </c>
      <c r="F117" s="876"/>
      <c r="G117" s="877"/>
      <c r="H117" s="877"/>
      <c r="I117" s="878"/>
    </row>
    <row r="118" spans="1:13" ht="42.5" thickBot="1">
      <c r="A118" s="50" t="s">
        <v>27</v>
      </c>
      <c r="B118" s="53" t="s">
        <v>126</v>
      </c>
      <c r="C118" s="49"/>
      <c r="D118" s="144">
        <f>SUM(D119:D128)</f>
        <v>416.90000000000003</v>
      </c>
      <c r="E118" s="144">
        <f>SUM(E119:E128)</f>
        <v>398.90000000000003</v>
      </c>
      <c r="F118" s="879"/>
      <c r="G118" s="880"/>
      <c r="H118" s="880"/>
      <c r="I118" s="881"/>
    </row>
    <row r="119" spans="1:13" ht="32.25" customHeight="1">
      <c r="A119" s="874" t="s">
        <v>29</v>
      </c>
      <c r="B119" s="844" t="s">
        <v>572</v>
      </c>
      <c r="C119" s="701" t="s">
        <v>20</v>
      </c>
      <c r="D119" s="703">
        <f>265+20.8</f>
        <v>285.8</v>
      </c>
      <c r="E119" s="703">
        <f>13.5+7.3+379.3-27-62.3-1.2-7.5-6.7-5.6-4</f>
        <v>285.8</v>
      </c>
      <c r="F119" s="222" t="s">
        <v>1151</v>
      </c>
      <c r="G119" s="223">
        <v>34</v>
      </c>
      <c r="H119" s="223">
        <v>35</v>
      </c>
      <c r="I119" s="746" t="s">
        <v>1089</v>
      </c>
    </row>
    <row r="120" spans="1:13" ht="31.5" customHeight="1">
      <c r="A120" s="875"/>
      <c r="B120" s="828"/>
      <c r="C120" s="700"/>
      <c r="D120" s="672"/>
      <c r="E120" s="672"/>
      <c r="F120" s="224" t="s">
        <v>423</v>
      </c>
      <c r="G120" s="192">
        <v>20</v>
      </c>
      <c r="H120" s="192">
        <v>30</v>
      </c>
      <c r="I120" s="669"/>
    </row>
    <row r="121" spans="1:13" ht="31.5" customHeight="1">
      <c r="A121" s="875"/>
      <c r="B121" s="828"/>
      <c r="C121" s="606" t="s">
        <v>18</v>
      </c>
      <c r="D121" s="593">
        <v>20</v>
      </c>
      <c r="E121" s="538">
        <v>27</v>
      </c>
      <c r="F121" s="348" t="s">
        <v>424</v>
      </c>
      <c r="G121" s="511">
        <v>8</v>
      </c>
      <c r="H121" s="511">
        <v>5</v>
      </c>
      <c r="I121" s="669"/>
    </row>
    <row r="122" spans="1:13" ht="34.5" customHeight="1">
      <c r="A122" s="760"/>
      <c r="B122" s="731"/>
      <c r="C122" s="606" t="s">
        <v>22</v>
      </c>
      <c r="D122" s="593">
        <v>64.900000000000006</v>
      </c>
      <c r="E122" s="595">
        <v>62.3</v>
      </c>
      <c r="F122" s="353" t="s">
        <v>425</v>
      </c>
      <c r="G122" s="190">
        <v>20</v>
      </c>
      <c r="H122" s="190">
        <v>30</v>
      </c>
      <c r="I122" s="753"/>
    </row>
    <row r="123" spans="1:13" ht="34.5" customHeight="1">
      <c r="A123" s="559" t="s">
        <v>31</v>
      </c>
      <c r="B123" s="565" t="s">
        <v>618</v>
      </c>
      <c r="C123" s="537" t="s">
        <v>20</v>
      </c>
      <c r="D123" s="210">
        <v>11.9</v>
      </c>
      <c r="E123" s="424">
        <v>0</v>
      </c>
      <c r="F123" s="204" t="s">
        <v>441</v>
      </c>
      <c r="G123" s="347">
        <v>100</v>
      </c>
      <c r="H123" s="347">
        <v>80</v>
      </c>
      <c r="I123" s="580" t="s">
        <v>988</v>
      </c>
    </row>
    <row r="124" spans="1:13" ht="34.5" customHeight="1">
      <c r="A124" s="562" t="s">
        <v>187</v>
      </c>
      <c r="B124" s="586" t="s">
        <v>619</v>
      </c>
      <c r="C124" s="606" t="s">
        <v>20</v>
      </c>
      <c r="D124" s="186">
        <v>2.8</v>
      </c>
      <c r="E124" s="429">
        <v>0</v>
      </c>
      <c r="F124" s="205" t="s">
        <v>441</v>
      </c>
      <c r="G124" s="185">
        <v>100</v>
      </c>
      <c r="H124" s="185">
        <v>100</v>
      </c>
      <c r="I124" s="177" t="s">
        <v>989</v>
      </c>
    </row>
    <row r="125" spans="1:13" ht="34.5" customHeight="1">
      <c r="A125" s="562" t="s">
        <v>188</v>
      </c>
      <c r="B125" s="586" t="s">
        <v>620</v>
      </c>
      <c r="C125" s="606" t="s">
        <v>67</v>
      </c>
      <c r="D125" s="186">
        <v>23.1</v>
      </c>
      <c r="E125" s="595">
        <v>6.7</v>
      </c>
      <c r="F125" s="205" t="s">
        <v>441</v>
      </c>
      <c r="G125" s="185">
        <v>100</v>
      </c>
      <c r="H125" s="185">
        <v>100</v>
      </c>
      <c r="I125" s="177" t="s">
        <v>991</v>
      </c>
    </row>
    <row r="126" spans="1:13" ht="60.75" customHeight="1">
      <c r="A126" s="559" t="s">
        <v>189</v>
      </c>
      <c r="B126" s="565" t="s">
        <v>621</v>
      </c>
      <c r="C126" s="537" t="s">
        <v>67</v>
      </c>
      <c r="D126" s="210">
        <v>8.4</v>
      </c>
      <c r="E126" s="538">
        <v>7.5</v>
      </c>
      <c r="F126" s="204" t="s">
        <v>441</v>
      </c>
      <c r="G126" s="347">
        <v>100</v>
      </c>
      <c r="H126" s="347">
        <v>100</v>
      </c>
      <c r="I126" s="580" t="s">
        <v>990</v>
      </c>
    </row>
    <row r="127" spans="1:13" ht="41.25" customHeight="1">
      <c r="A127" s="675" t="s">
        <v>264</v>
      </c>
      <c r="B127" s="677" t="s">
        <v>973</v>
      </c>
      <c r="C127" s="606" t="s">
        <v>20</v>
      </c>
      <c r="D127" s="427">
        <v>0</v>
      </c>
      <c r="E127" s="595">
        <v>4</v>
      </c>
      <c r="F127" s="727" t="s">
        <v>441</v>
      </c>
      <c r="G127" s="927">
        <v>0</v>
      </c>
      <c r="H127" s="927">
        <v>8</v>
      </c>
      <c r="I127" s="667" t="s">
        <v>1036</v>
      </c>
    </row>
    <row r="128" spans="1:13" ht="41.25" customHeight="1" thickBot="1">
      <c r="A128" s="691"/>
      <c r="B128" s="658"/>
      <c r="C128" s="550" t="s">
        <v>67</v>
      </c>
      <c r="D128" s="639">
        <v>0</v>
      </c>
      <c r="E128" s="524">
        <v>5.6</v>
      </c>
      <c r="F128" s="660"/>
      <c r="G128" s="928"/>
      <c r="H128" s="928"/>
      <c r="I128" s="664"/>
      <c r="J128" s="476"/>
      <c r="K128" s="457"/>
      <c r="L128" s="457"/>
      <c r="M128" s="457"/>
    </row>
    <row r="129" spans="1:9" ht="31.5" customHeight="1" thickBot="1">
      <c r="A129" s="50" t="s">
        <v>127</v>
      </c>
      <c r="B129" s="53" t="s">
        <v>128</v>
      </c>
      <c r="C129" s="49"/>
      <c r="D129" s="144">
        <f>D130+D131+D132</f>
        <v>811.7</v>
      </c>
      <c r="E129" s="144">
        <f>E130+E131+E132</f>
        <v>840.5</v>
      </c>
      <c r="F129" s="879"/>
      <c r="G129" s="880"/>
      <c r="H129" s="880"/>
      <c r="I129" s="881"/>
    </row>
    <row r="130" spans="1:9" ht="22.5" customHeight="1">
      <c r="A130" s="905" t="s">
        <v>129</v>
      </c>
      <c r="B130" s="657" t="s">
        <v>130</v>
      </c>
      <c r="C130" s="590" t="s">
        <v>20</v>
      </c>
      <c r="D130" s="226">
        <v>347.6</v>
      </c>
      <c r="E130" s="227">
        <f>860.5-135-358.1-10-10</f>
        <v>347.4</v>
      </c>
      <c r="F130" s="659" t="s">
        <v>622</v>
      </c>
      <c r="G130" s="910">
        <v>85</v>
      </c>
      <c r="H130" s="910">
        <v>85</v>
      </c>
      <c r="I130" s="663" t="s">
        <v>1090</v>
      </c>
    </row>
    <row r="131" spans="1:9" ht="22.5" customHeight="1">
      <c r="A131" s="897"/>
      <c r="B131" s="678"/>
      <c r="C131" s="606" t="s">
        <v>22</v>
      </c>
      <c r="D131" s="191">
        <v>378.1</v>
      </c>
      <c r="E131" s="228">
        <v>358.1</v>
      </c>
      <c r="F131" s="728"/>
      <c r="G131" s="745"/>
      <c r="H131" s="745"/>
      <c r="I131" s="668"/>
    </row>
    <row r="132" spans="1:9" ht="28.5" thickBot="1">
      <c r="A132" s="54" t="s">
        <v>321</v>
      </c>
      <c r="B132" s="529" t="s">
        <v>322</v>
      </c>
      <c r="C132" s="550" t="s">
        <v>18</v>
      </c>
      <c r="D132" s="567">
        <v>86</v>
      </c>
      <c r="E132" s="229">
        <v>135</v>
      </c>
      <c r="F132" s="564" t="s">
        <v>623</v>
      </c>
      <c r="G132" s="604">
        <v>29</v>
      </c>
      <c r="H132" s="604">
        <v>28</v>
      </c>
      <c r="I132" s="664"/>
    </row>
    <row r="133" spans="1:9">
      <c r="A133" s="903" t="s">
        <v>131</v>
      </c>
      <c r="B133" s="903" t="s">
        <v>323</v>
      </c>
      <c r="C133" s="890"/>
      <c r="D133" s="892">
        <f>SUM(D135:D149)</f>
        <v>1229.8</v>
      </c>
      <c r="E133" s="892">
        <f>SUM(E135:E149)</f>
        <v>1289.8000000000004</v>
      </c>
      <c r="F133" s="909"/>
      <c r="G133" s="884"/>
      <c r="H133" s="884"/>
      <c r="I133" s="885"/>
    </row>
    <row r="134" spans="1:9" ht="33" customHeight="1" thickBot="1">
      <c r="A134" s="904"/>
      <c r="B134" s="891"/>
      <c r="C134" s="891"/>
      <c r="D134" s="893"/>
      <c r="E134" s="893"/>
      <c r="F134" s="911"/>
      <c r="G134" s="912"/>
      <c r="H134" s="912"/>
      <c r="I134" s="913"/>
    </row>
    <row r="135" spans="1:9" ht="30.75" customHeight="1">
      <c r="A135" s="896" t="s">
        <v>238</v>
      </c>
      <c r="B135" s="898" t="s">
        <v>624</v>
      </c>
      <c r="C135" s="899" t="s">
        <v>18</v>
      </c>
      <c r="D135" s="900">
        <v>481.5</v>
      </c>
      <c r="E135" s="902">
        <v>451.3</v>
      </c>
      <c r="F135" s="230" t="s">
        <v>625</v>
      </c>
      <c r="G135" s="602">
        <v>300</v>
      </c>
      <c r="H135" s="602">
        <v>371</v>
      </c>
      <c r="I135" s="746" t="s">
        <v>549</v>
      </c>
    </row>
    <row r="136" spans="1:9" ht="28">
      <c r="A136" s="897"/>
      <c r="B136" s="761"/>
      <c r="C136" s="840"/>
      <c r="D136" s="901"/>
      <c r="E136" s="734"/>
      <c r="F136" s="205" t="s">
        <v>132</v>
      </c>
      <c r="G136" s="603">
        <v>5</v>
      </c>
      <c r="H136" s="603">
        <v>5</v>
      </c>
      <c r="I136" s="753"/>
    </row>
    <row r="137" spans="1:9" ht="52.5" customHeight="1">
      <c r="A137" s="587" t="s">
        <v>324</v>
      </c>
      <c r="B137" s="574" t="s">
        <v>426</v>
      </c>
      <c r="C137" s="606" t="s">
        <v>18</v>
      </c>
      <c r="D137" s="593">
        <v>82</v>
      </c>
      <c r="E137" s="595">
        <v>112</v>
      </c>
      <c r="F137" s="205" t="s">
        <v>1152</v>
      </c>
      <c r="G137" s="603">
        <v>33</v>
      </c>
      <c r="H137" s="603">
        <v>35</v>
      </c>
      <c r="I137" s="514" t="s">
        <v>992</v>
      </c>
    </row>
    <row r="138" spans="1:9" ht="18" customHeight="1">
      <c r="A138" s="760" t="s">
        <v>325</v>
      </c>
      <c r="B138" s="761" t="s">
        <v>133</v>
      </c>
      <c r="C138" s="699" t="s">
        <v>20</v>
      </c>
      <c r="D138" s="670">
        <v>535.4</v>
      </c>
      <c r="E138" s="735">
        <f>1274.9-451.3-112-50-3.5-19.3-74.4-11.2-51-5.7</f>
        <v>496.50000000000017</v>
      </c>
      <c r="F138" s="205" t="s">
        <v>427</v>
      </c>
      <c r="G138" s="603">
        <v>20</v>
      </c>
      <c r="H138" s="603">
        <v>22</v>
      </c>
      <c r="I138" s="753" t="s">
        <v>1091</v>
      </c>
    </row>
    <row r="139" spans="1:9" ht="28.5" customHeight="1">
      <c r="A139" s="760"/>
      <c r="B139" s="761"/>
      <c r="C139" s="700"/>
      <c r="D139" s="672"/>
      <c r="E139" s="733"/>
      <c r="F139" s="205" t="s">
        <v>1153</v>
      </c>
      <c r="G139" s="603">
        <v>7200</v>
      </c>
      <c r="H139" s="603">
        <v>7200</v>
      </c>
      <c r="I139" s="753"/>
    </row>
    <row r="140" spans="1:9" ht="49.5" customHeight="1">
      <c r="A140" s="760"/>
      <c r="B140" s="761"/>
      <c r="C140" s="231" t="s">
        <v>22</v>
      </c>
      <c r="D140" s="232">
        <v>15.3</v>
      </c>
      <c r="E140" s="233">
        <v>19.3</v>
      </c>
      <c r="F140" s="205" t="s">
        <v>1154</v>
      </c>
      <c r="G140" s="603">
        <v>120</v>
      </c>
      <c r="H140" s="603">
        <v>126</v>
      </c>
      <c r="I140" s="753"/>
    </row>
    <row r="141" spans="1:9" ht="42">
      <c r="A141" s="587" t="s">
        <v>326</v>
      </c>
      <c r="B141" s="574" t="s">
        <v>428</v>
      </c>
      <c r="C141" s="606" t="s">
        <v>20</v>
      </c>
      <c r="D141" s="593">
        <v>3.5</v>
      </c>
      <c r="E141" s="595">
        <v>3.5</v>
      </c>
      <c r="F141" s="205" t="s">
        <v>1155</v>
      </c>
      <c r="G141" s="603">
        <v>3000</v>
      </c>
      <c r="H141" s="603">
        <v>2842</v>
      </c>
      <c r="I141" s="514" t="s">
        <v>993</v>
      </c>
    </row>
    <row r="142" spans="1:9" ht="28">
      <c r="A142" s="587" t="s">
        <v>327</v>
      </c>
      <c r="B142" s="574" t="s">
        <v>135</v>
      </c>
      <c r="C142" s="606" t="s">
        <v>20</v>
      </c>
      <c r="D142" s="593">
        <v>50</v>
      </c>
      <c r="E142" s="593">
        <v>50</v>
      </c>
      <c r="F142" s="205" t="s">
        <v>1156</v>
      </c>
      <c r="G142" s="603">
        <v>290</v>
      </c>
      <c r="H142" s="603">
        <v>266</v>
      </c>
      <c r="I142" s="514" t="s">
        <v>136</v>
      </c>
    </row>
    <row r="143" spans="1:9" ht="28">
      <c r="A143" s="675" t="s">
        <v>626</v>
      </c>
      <c r="B143" s="677" t="s">
        <v>627</v>
      </c>
      <c r="C143" s="699" t="s">
        <v>67</v>
      </c>
      <c r="D143" s="670">
        <v>56.3</v>
      </c>
      <c r="E143" s="670">
        <v>74.400000000000006</v>
      </c>
      <c r="F143" s="205" t="s">
        <v>628</v>
      </c>
      <c r="G143" s="603">
        <v>37</v>
      </c>
      <c r="H143" s="603">
        <v>44</v>
      </c>
      <c r="I143" s="667" t="s">
        <v>994</v>
      </c>
    </row>
    <row r="144" spans="1:9">
      <c r="A144" s="676"/>
      <c r="B144" s="678"/>
      <c r="C144" s="700"/>
      <c r="D144" s="672"/>
      <c r="E144" s="672"/>
      <c r="F144" s="205" t="s">
        <v>441</v>
      </c>
      <c r="G144" s="603">
        <v>100</v>
      </c>
      <c r="H144" s="603">
        <v>100</v>
      </c>
      <c r="I144" s="669"/>
    </row>
    <row r="145" spans="1:9" ht="30.75" customHeight="1">
      <c r="A145" s="675" t="s">
        <v>629</v>
      </c>
      <c r="B145" s="677" t="s">
        <v>630</v>
      </c>
      <c r="C145" s="699" t="s">
        <v>67</v>
      </c>
      <c r="D145" s="670">
        <v>5.8</v>
      </c>
      <c r="E145" s="670">
        <v>5.7</v>
      </c>
      <c r="F145" s="600" t="s">
        <v>1157</v>
      </c>
      <c r="G145" s="603">
        <v>600</v>
      </c>
      <c r="H145" s="603">
        <v>42</v>
      </c>
      <c r="I145" s="667" t="s">
        <v>995</v>
      </c>
    </row>
    <row r="146" spans="1:9" ht="20.25" customHeight="1">
      <c r="A146" s="676"/>
      <c r="B146" s="678"/>
      <c r="C146" s="700"/>
      <c r="D146" s="672"/>
      <c r="E146" s="672"/>
      <c r="F146" s="549" t="s">
        <v>441</v>
      </c>
      <c r="G146" s="503">
        <v>60</v>
      </c>
      <c r="H146" s="503">
        <v>100</v>
      </c>
      <c r="I146" s="669"/>
    </row>
    <row r="147" spans="1:9" ht="30.75" customHeight="1">
      <c r="A147" s="675" t="s">
        <v>970</v>
      </c>
      <c r="B147" s="677" t="s">
        <v>975</v>
      </c>
      <c r="C147" s="699" t="s">
        <v>67</v>
      </c>
      <c r="D147" s="906">
        <v>0</v>
      </c>
      <c r="E147" s="670">
        <v>11.2</v>
      </c>
      <c r="F147" s="600" t="s">
        <v>1158</v>
      </c>
      <c r="G147" s="603">
        <v>0</v>
      </c>
      <c r="H147" s="603">
        <v>21</v>
      </c>
      <c r="I147" s="667" t="s">
        <v>1092</v>
      </c>
    </row>
    <row r="148" spans="1:9" ht="33" customHeight="1">
      <c r="A148" s="676"/>
      <c r="B148" s="678"/>
      <c r="C148" s="700"/>
      <c r="D148" s="907"/>
      <c r="E148" s="672"/>
      <c r="F148" s="549" t="s">
        <v>441</v>
      </c>
      <c r="G148" s="503">
        <v>0</v>
      </c>
      <c r="H148" s="503">
        <v>100</v>
      </c>
      <c r="I148" s="669"/>
    </row>
    <row r="149" spans="1:9" ht="81" customHeight="1" thickBot="1">
      <c r="A149" s="613" t="s">
        <v>974</v>
      </c>
      <c r="B149" s="598" t="s">
        <v>971</v>
      </c>
      <c r="C149" s="213" t="s">
        <v>67</v>
      </c>
      <c r="D149" s="614">
        <v>0</v>
      </c>
      <c r="E149" s="225">
        <f>14.9+51</f>
        <v>65.900000000000006</v>
      </c>
      <c r="F149" s="601" t="s">
        <v>441</v>
      </c>
      <c r="G149" s="604">
        <v>0</v>
      </c>
      <c r="H149" s="604">
        <v>100</v>
      </c>
      <c r="I149" s="521" t="s">
        <v>1093</v>
      </c>
    </row>
    <row r="150" spans="1:9" ht="24.75" customHeight="1" thickBot="1">
      <c r="A150" s="570" t="s">
        <v>137</v>
      </c>
      <c r="B150" s="571" t="s">
        <v>138</v>
      </c>
      <c r="C150" s="572"/>
      <c r="D150" s="573">
        <f>D151+D152+D153</f>
        <v>710</v>
      </c>
      <c r="E150" s="573">
        <f>E151+E152+E153</f>
        <v>623.5</v>
      </c>
      <c r="F150" s="909"/>
      <c r="G150" s="884"/>
      <c r="H150" s="884"/>
      <c r="I150" s="885"/>
    </row>
    <row r="151" spans="1:9" ht="42" customHeight="1">
      <c r="A151" s="865" t="s">
        <v>139</v>
      </c>
      <c r="B151" s="657" t="s">
        <v>631</v>
      </c>
      <c r="C151" s="590" t="s">
        <v>20</v>
      </c>
      <c r="D151" s="592">
        <v>644.79999999999995</v>
      </c>
      <c r="E151" s="236">
        <f>623.5-5.2</f>
        <v>618.29999999999995</v>
      </c>
      <c r="F151" s="359" t="s">
        <v>632</v>
      </c>
      <c r="G151" s="360">
        <v>30</v>
      </c>
      <c r="H151" s="446">
        <v>37</v>
      </c>
      <c r="I151" s="663" t="s">
        <v>1094</v>
      </c>
    </row>
    <row r="152" spans="1:9" ht="42" customHeight="1">
      <c r="A152" s="698"/>
      <c r="B152" s="678"/>
      <c r="C152" s="537" t="s">
        <v>22</v>
      </c>
      <c r="D152" s="534">
        <v>11.5</v>
      </c>
      <c r="E152" s="538">
        <v>5.2</v>
      </c>
      <c r="F152" s="357" t="s">
        <v>633</v>
      </c>
      <c r="G152" s="358">
        <v>6</v>
      </c>
      <c r="H152" s="358">
        <v>6</v>
      </c>
      <c r="I152" s="669"/>
    </row>
    <row r="153" spans="1:9" ht="48.75" customHeight="1" thickBot="1">
      <c r="A153" s="525" t="s">
        <v>455</v>
      </c>
      <c r="B153" s="528" t="s">
        <v>634</v>
      </c>
      <c r="C153" s="535" t="s">
        <v>67</v>
      </c>
      <c r="D153" s="533">
        <v>53.7</v>
      </c>
      <c r="E153" s="522">
        <v>0</v>
      </c>
      <c r="F153" s="356" t="s">
        <v>441</v>
      </c>
      <c r="G153" s="361">
        <v>20</v>
      </c>
      <c r="H153" s="361">
        <v>0</v>
      </c>
      <c r="I153" s="507" t="s">
        <v>996</v>
      </c>
    </row>
    <row r="154" spans="1:9" ht="45.75" customHeight="1" thickBot="1">
      <c r="A154" s="47" t="s">
        <v>140</v>
      </c>
      <c r="B154" s="48" t="s">
        <v>141</v>
      </c>
      <c r="C154" s="49"/>
      <c r="D154" s="145">
        <f>D155+D156</f>
        <v>201.9</v>
      </c>
      <c r="E154" s="145">
        <f>E155+E156</f>
        <v>194.8</v>
      </c>
      <c r="F154" s="970"/>
      <c r="G154" s="971"/>
      <c r="H154" s="971"/>
      <c r="I154" s="972"/>
    </row>
    <row r="155" spans="1:9" ht="28">
      <c r="A155" s="698" t="s">
        <v>142</v>
      </c>
      <c r="B155" s="844" t="s">
        <v>143</v>
      </c>
      <c r="C155" s="540" t="s">
        <v>20</v>
      </c>
      <c r="D155" s="226">
        <v>189.6</v>
      </c>
      <c r="E155" s="237">
        <f>194.8-11.6</f>
        <v>183.20000000000002</v>
      </c>
      <c r="F155" s="599" t="s">
        <v>635</v>
      </c>
      <c r="G155" s="602">
        <v>50</v>
      </c>
      <c r="H155" s="602">
        <v>50</v>
      </c>
      <c r="I155" s="921" t="s">
        <v>1095</v>
      </c>
    </row>
    <row r="156" spans="1:9" ht="28.5" thickBot="1">
      <c r="A156" s="697"/>
      <c r="B156" s="845"/>
      <c r="C156" s="213" t="s">
        <v>22</v>
      </c>
      <c r="D156" s="238">
        <v>12.3</v>
      </c>
      <c r="E156" s="239">
        <v>11.6</v>
      </c>
      <c r="F156" s="601" t="s">
        <v>134</v>
      </c>
      <c r="G156" s="604">
        <v>11</v>
      </c>
      <c r="H156" s="604">
        <v>11</v>
      </c>
      <c r="I156" s="929"/>
    </row>
    <row r="157" spans="1:9" ht="28.5" thickBot="1">
      <c r="A157" s="47" t="s">
        <v>144</v>
      </c>
      <c r="B157" s="48" t="s">
        <v>145</v>
      </c>
      <c r="C157" s="49"/>
      <c r="D157" s="145">
        <f>D158</f>
        <v>12</v>
      </c>
      <c r="E157" s="145">
        <f>E158</f>
        <v>17.5</v>
      </c>
      <c r="F157" s="923"/>
      <c r="G157" s="924"/>
      <c r="H157" s="924"/>
      <c r="I157" s="925"/>
    </row>
    <row r="158" spans="1:9" ht="49.5" customHeight="1" thickBot="1">
      <c r="A158" s="552" t="s">
        <v>328</v>
      </c>
      <c r="B158" s="215" t="s">
        <v>146</v>
      </c>
      <c r="C158" s="216" t="s">
        <v>20</v>
      </c>
      <c r="D158" s="240">
        <v>12</v>
      </c>
      <c r="E158" s="241">
        <v>17.5</v>
      </c>
      <c r="F158" s="219" t="s">
        <v>429</v>
      </c>
      <c r="G158" s="221">
        <v>5</v>
      </c>
      <c r="H158" s="221">
        <v>8</v>
      </c>
      <c r="I158" s="447" t="s">
        <v>1118</v>
      </c>
    </row>
    <row r="159" spans="1:9" ht="42.5" thickBot="1">
      <c r="A159" s="44" t="s">
        <v>34</v>
      </c>
      <c r="B159" s="45" t="s">
        <v>147</v>
      </c>
      <c r="C159" s="46"/>
      <c r="D159" s="142">
        <f>D160</f>
        <v>1099.4000000000001</v>
      </c>
      <c r="E159" s="142">
        <f>E160</f>
        <v>1078.3</v>
      </c>
      <c r="F159" s="930"/>
      <c r="G159" s="931"/>
      <c r="H159" s="931"/>
      <c r="I159" s="932"/>
    </row>
    <row r="160" spans="1:9" ht="52.5" customHeight="1" thickBot="1">
      <c r="A160" s="50" t="s">
        <v>36</v>
      </c>
      <c r="B160" s="48" t="s">
        <v>148</v>
      </c>
      <c r="C160" s="55"/>
      <c r="D160" s="146">
        <f>SUM(D161:D166)</f>
        <v>1099.4000000000001</v>
      </c>
      <c r="E160" s="146">
        <f>SUM(E161:E166)</f>
        <v>1078.3</v>
      </c>
      <c r="F160" s="923"/>
      <c r="G160" s="924"/>
      <c r="H160" s="924"/>
      <c r="I160" s="925"/>
    </row>
    <row r="161" spans="1:15" ht="28.5" customHeight="1">
      <c r="A161" s="375" t="s">
        <v>149</v>
      </c>
      <c r="B161" s="209" t="s">
        <v>329</v>
      </c>
      <c r="C161" s="590" t="s">
        <v>20</v>
      </c>
      <c r="D161" s="198">
        <v>10</v>
      </c>
      <c r="E161" s="242">
        <v>7.4</v>
      </c>
      <c r="F161" s="230" t="s">
        <v>313</v>
      </c>
      <c r="G161" s="602">
        <v>5</v>
      </c>
      <c r="H161" s="602">
        <v>15</v>
      </c>
      <c r="I161" s="448" t="s">
        <v>330</v>
      </c>
      <c r="J161" s="476"/>
      <c r="K161" s="476"/>
      <c r="L161" s="476"/>
      <c r="M161" s="457"/>
      <c r="N161" s="471"/>
    </row>
    <row r="162" spans="1:15" ht="30.75" customHeight="1">
      <c r="A162" s="675" t="s">
        <v>39</v>
      </c>
      <c r="B162" s="677" t="s">
        <v>430</v>
      </c>
      <c r="C162" s="699" t="s">
        <v>67</v>
      </c>
      <c r="D162" s="670">
        <v>95</v>
      </c>
      <c r="E162" s="735">
        <v>72.2</v>
      </c>
      <c r="F162" s="197" t="s">
        <v>636</v>
      </c>
      <c r="G162" s="190">
        <v>110</v>
      </c>
      <c r="H162" s="190">
        <v>110</v>
      </c>
      <c r="I162" s="667" t="s">
        <v>552</v>
      </c>
    </row>
    <row r="163" spans="1:15" ht="24.75" customHeight="1">
      <c r="A163" s="676"/>
      <c r="B163" s="678"/>
      <c r="C163" s="700"/>
      <c r="D163" s="672"/>
      <c r="E163" s="733"/>
      <c r="F163" s="345" t="s">
        <v>441</v>
      </c>
      <c r="G163" s="192">
        <v>70</v>
      </c>
      <c r="H163" s="192">
        <v>70</v>
      </c>
      <c r="I163" s="669"/>
    </row>
    <row r="164" spans="1:15" ht="48" customHeight="1">
      <c r="A164" s="559" t="s">
        <v>152</v>
      </c>
      <c r="B164" s="564" t="s">
        <v>573</v>
      </c>
      <c r="C164" s="536" t="s">
        <v>20</v>
      </c>
      <c r="D164" s="567">
        <v>520</v>
      </c>
      <c r="E164" s="229">
        <v>555.6</v>
      </c>
      <c r="F164" s="204" t="s">
        <v>637</v>
      </c>
      <c r="G164" s="503">
        <v>94</v>
      </c>
      <c r="H164" s="503">
        <v>161</v>
      </c>
      <c r="I164" s="579" t="s">
        <v>150</v>
      </c>
      <c r="J164" s="476"/>
      <c r="K164" s="476"/>
      <c r="L164" s="476"/>
      <c r="M164" s="476"/>
      <c r="N164" s="476"/>
      <c r="O164" s="476"/>
    </row>
    <row r="165" spans="1:15" ht="45.75" customHeight="1">
      <c r="A165" s="562" t="s">
        <v>431</v>
      </c>
      <c r="B165" s="563" t="s">
        <v>433</v>
      </c>
      <c r="C165" s="535" t="s">
        <v>18</v>
      </c>
      <c r="D165" s="566">
        <v>94.4</v>
      </c>
      <c r="E165" s="487">
        <v>198</v>
      </c>
      <c r="F165" s="205" t="s">
        <v>638</v>
      </c>
      <c r="G165" s="603">
        <v>49</v>
      </c>
      <c r="H165" s="603">
        <v>42</v>
      </c>
      <c r="I165" s="578" t="s">
        <v>969</v>
      </c>
    </row>
    <row r="166" spans="1:15" ht="36" customHeight="1" thickBot="1">
      <c r="A166" s="562" t="s">
        <v>432</v>
      </c>
      <c r="B166" s="212" t="s">
        <v>151</v>
      </c>
      <c r="C166" s="213" t="s">
        <v>20</v>
      </c>
      <c r="D166" s="238">
        <v>380</v>
      </c>
      <c r="E166" s="244">
        <v>245.1</v>
      </c>
      <c r="F166" s="207" t="s">
        <v>639</v>
      </c>
      <c r="G166" s="604">
        <v>17</v>
      </c>
      <c r="H166" s="604">
        <v>15</v>
      </c>
      <c r="I166" s="444" t="s">
        <v>1062</v>
      </c>
    </row>
    <row r="167" spans="1:15" ht="28.5" thickBot="1">
      <c r="A167" s="44" t="s">
        <v>153</v>
      </c>
      <c r="B167" s="45" t="s">
        <v>154</v>
      </c>
      <c r="C167" s="56"/>
      <c r="D167" s="142">
        <f>D168+D171</f>
        <v>2962</v>
      </c>
      <c r="E167" s="142">
        <f>E168+E171</f>
        <v>2928.8</v>
      </c>
      <c r="F167" s="973"/>
      <c r="G167" s="718"/>
      <c r="H167" s="718"/>
      <c r="I167" s="719"/>
    </row>
    <row r="168" spans="1:15" ht="72" customHeight="1" thickBot="1">
      <c r="A168" s="47" t="s">
        <v>70</v>
      </c>
      <c r="B168" s="48" t="s">
        <v>640</v>
      </c>
      <c r="C168" s="49"/>
      <c r="D168" s="145">
        <f>D169+D170</f>
        <v>2400</v>
      </c>
      <c r="E168" s="145">
        <f>E169+E170</f>
        <v>2327.8000000000002</v>
      </c>
      <c r="F168" s="923"/>
      <c r="G168" s="924"/>
      <c r="H168" s="924"/>
      <c r="I168" s="925"/>
    </row>
    <row r="169" spans="1:15" ht="28">
      <c r="A169" s="375" t="s">
        <v>71</v>
      </c>
      <c r="B169" s="209" t="s">
        <v>331</v>
      </c>
      <c r="C169" s="590" t="s">
        <v>20</v>
      </c>
      <c r="D169" s="198">
        <v>600</v>
      </c>
      <c r="E169" s="236">
        <v>578.5</v>
      </c>
      <c r="F169" s="599" t="s">
        <v>434</v>
      </c>
      <c r="G169" s="602">
        <v>2950</v>
      </c>
      <c r="H169" s="602">
        <v>2844</v>
      </c>
      <c r="I169" s="583" t="s">
        <v>332</v>
      </c>
    </row>
    <row r="170" spans="1:15" ht="28.5" thickBot="1">
      <c r="A170" s="559" t="s">
        <v>73</v>
      </c>
      <c r="B170" s="565" t="s">
        <v>435</v>
      </c>
      <c r="C170" s="537" t="s">
        <v>20</v>
      </c>
      <c r="D170" s="568">
        <v>1800</v>
      </c>
      <c r="E170" s="245">
        <v>1749.3</v>
      </c>
      <c r="F170" s="517" t="s">
        <v>436</v>
      </c>
      <c r="G170" s="512">
        <v>1850</v>
      </c>
      <c r="H170" s="512">
        <v>1697</v>
      </c>
      <c r="I170" s="508" t="s">
        <v>550</v>
      </c>
    </row>
    <row r="171" spans="1:15" ht="48" customHeight="1" thickBot="1">
      <c r="A171" s="47" t="s">
        <v>155</v>
      </c>
      <c r="B171" s="571" t="s">
        <v>156</v>
      </c>
      <c r="C171" s="57"/>
      <c r="D171" s="144">
        <f>D172+D173</f>
        <v>562</v>
      </c>
      <c r="E171" s="144">
        <f>E172+E173</f>
        <v>601</v>
      </c>
      <c r="F171" s="923"/>
      <c r="G171" s="924"/>
      <c r="H171" s="924"/>
      <c r="I171" s="925"/>
    </row>
    <row r="172" spans="1:15">
      <c r="A172" s="676" t="s">
        <v>77</v>
      </c>
      <c r="B172" s="844" t="s">
        <v>437</v>
      </c>
      <c r="C172" s="701" t="s">
        <v>20</v>
      </c>
      <c r="D172" s="703">
        <v>562</v>
      </c>
      <c r="E172" s="829">
        <v>601</v>
      </c>
      <c r="F172" s="246" t="s">
        <v>1159</v>
      </c>
      <c r="G172" s="223">
        <v>505447</v>
      </c>
      <c r="H172" s="223">
        <v>515168</v>
      </c>
      <c r="I172" s="746" t="s">
        <v>551</v>
      </c>
      <c r="J172" s="476"/>
      <c r="K172" s="476"/>
      <c r="L172" s="476"/>
      <c r="M172" s="476"/>
      <c r="N172" s="476"/>
      <c r="O172" s="476"/>
    </row>
    <row r="173" spans="1:15" ht="15" thickBot="1">
      <c r="A173" s="675"/>
      <c r="B173" s="828"/>
      <c r="C173" s="702"/>
      <c r="D173" s="704"/>
      <c r="E173" s="755"/>
      <c r="F173" s="247" t="s">
        <v>438</v>
      </c>
      <c r="G173" s="248">
        <v>786</v>
      </c>
      <c r="H173" s="248">
        <v>845</v>
      </c>
      <c r="I173" s="667"/>
      <c r="J173" s="476"/>
      <c r="K173" s="476"/>
      <c r="L173" s="476"/>
      <c r="M173" s="476"/>
      <c r="N173" s="476"/>
      <c r="O173" s="476"/>
    </row>
    <row r="174" spans="1:15" ht="31.5" customHeight="1" thickBot="1">
      <c r="A174" s="44" t="s">
        <v>89</v>
      </c>
      <c r="B174" s="45" t="s">
        <v>157</v>
      </c>
      <c r="C174" s="46"/>
      <c r="D174" s="143">
        <f>D175</f>
        <v>455.4</v>
      </c>
      <c r="E174" s="143">
        <f>E175</f>
        <v>141.79999999999998</v>
      </c>
      <c r="F174" s="718"/>
      <c r="G174" s="718"/>
      <c r="H174" s="718"/>
      <c r="I174" s="719"/>
    </row>
    <row r="175" spans="1:15">
      <c r="A175" s="886" t="s">
        <v>90</v>
      </c>
      <c r="B175" s="888" t="s">
        <v>158</v>
      </c>
      <c r="C175" s="890"/>
      <c r="D175" s="892">
        <f>SUM(D177:D181)</f>
        <v>455.4</v>
      </c>
      <c r="E175" s="892">
        <f>SUM(E177:E181)</f>
        <v>141.79999999999998</v>
      </c>
      <c r="F175" s="909"/>
      <c r="G175" s="884"/>
      <c r="H175" s="884"/>
      <c r="I175" s="885"/>
    </row>
    <row r="176" spans="1:15" ht="15" thickBot="1">
      <c r="A176" s="887"/>
      <c r="B176" s="908"/>
      <c r="C176" s="891"/>
      <c r="D176" s="893"/>
      <c r="E176" s="893"/>
      <c r="F176" s="911"/>
      <c r="G176" s="912"/>
      <c r="H176" s="912"/>
      <c r="I176" s="913"/>
    </row>
    <row r="177" spans="1:9" ht="32.25" customHeight="1">
      <c r="A177" s="560" t="s">
        <v>91</v>
      </c>
      <c r="B177" s="539" t="s">
        <v>439</v>
      </c>
      <c r="C177" s="590" t="s">
        <v>18</v>
      </c>
      <c r="D177" s="592">
        <v>0.2</v>
      </c>
      <c r="E177" s="594">
        <v>0</v>
      </c>
      <c r="F177" s="584" t="s">
        <v>641</v>
      </c>
      <c r="G177" s="502">
        <v>5</v>
      </c>
      <c r="H177" s="502">
        <v>0</v>
      </c>
      <c r="I177" s="582" t="s">
        <v>1119</v>
      </c>
    </row>
    <row r="178" spans="1:9" ht="39" customHeight="1">
      <c r="A178" s="697" t="s">
        <v>159</v>
      </c>
      <c r="B178" s="677" t="s">
        <v>642</v>
      </c>
      <c r="C178" s="699" t="s">
        <v>20</v>
      </c>
      <c r="D178" s="670">
        <v>30</v>
      </c>
      <c r="E178" s="735">
        <v>10</v>
      </c>
      <c r="F178" s="586" t="s">
        <v>440</v>
      </c>
      <c r="G178" s="603">
        <v>50</v>
      </c>
      <c r="H178" s="603">
        <v>44</v>
      </c>
      <c r="I178" s="667" t="s">
        <v>1061</v>
      </c>
    </row>
    <row r="179" spans="1:9" ht="39" customHeight="1">
      <c r="A179" s="698"/>
      <c r="B179" s="678"/>
      <c r="C179" s="700"/>
      <c r="D179" s="672"/>
      <c r="E179" s="733"/>
      <c r="F179" s="563" t="s">
        <v>643</v>
      </c>
      <c r="G179" s="511">
        <v>15</v>
      </c>
      <c r="H179" s="511">
        <v>19</v>
      </c>
      <c r="I179" s="669"/>
    </row>
    <row r="180" spans="1:9" ht="30" customHeight="1">
      <c r="A180" s="697" t="s">
        <v>334</v>
      </c>
      <c r="B180" s="677" t="s">
        <v>644</v>
      </c>
      <c r="C180" s="231" t="s">
        <v>20</v>
      </c>
      <c r="D180" s="250">
        <v>63.8</v>
      </c>
      <c r="E180" s="233">
        <v>19.7</v>
      </c>
      <c r="F180" s="256" t="s">
        <v>333</v>
      </c>
      <c r="G180" s="190">
        <v>35</v>
      </c>
      <c r="H180" s="190">
        <v>19</v>
      </c>
      <c r="I180" s="914" t="s">
        <v>553</v>
      </c>
    </row>
    <row r="181" spans="1:9" ht="24" customHeight="1" thickBot="1">
      <c r="A181" s="868"/>
      <c r="B181" s="658"/>
      <c r="C181" s="251" t="s">
        <v>67</v>
      </c>
      <c r="D181" s="252">
        <v>361.4</v>
      </c>
      <c r="E181" s="253">
        <v>112.1</v>
      </c>
      <c r="F181" s="257" t="s">
        <v>441</v>
      </c>
      <c r="G181" s="258">
        <v>50</v>
      </c>
      <c r="H181" s="258">
        <v>30</v>
      </c>
      <c r="I181" s="929"/>
    </row>
    <row r="182" spans="1:9" ht="22.5" customHeight="1" thickBot="1">
      <c r="A182" s="62" t="s">
        <v>34</v>
      </c>
      <c r="B182" s="63" t="s">
        <v>160</v>
      </c>
      <c r="C182" s="64"/>
      <c r="D182" s="148">
        <f>D183</f>
        <v>946.99999999999989</v>
      </c>
      <c r="E182" s="148">
        <f>E183+E206</f>
        <v>770.20000000000016</v>
      </c>
      <c r="F182" s="1059"/>
      <c r="G182" s="1060"/>
      <c r="H182" s="1060"/>
      <c r="I182" s="1061"/>
    </row>
    <row r="183" spans="1:9" ht="35.25" customHeight="1" thickBot="1">
      <c r="A183" s="151" t="s">
        <v>12</v>
      </c>
      <c r="B183" s="152" t="s">
        <v>442</v>
      </c>
      <c r="C183" s="153"/>
      <c r="D183" s="154">
        <f>D184+D186</f>
        <v>946.99999999999989</v>
      </c>
      <c r="E183" s="154">
        <f>E184+E186</f>
        <v>747.20000000000016</v>
      </c>
      <c r="F183" s="986"/>
      <c r="G183" s="987"/>
      <c r="H183" s="987"/>
      <c r="I183" s="988"/>
    </row>
    <row r="184" spans="1:9" ht="32.25" customHeight="1" thickBot="1">
      <c r="A184" s="59" t="s">
        <v>161</v>
      </c>
      <c r="B184" s="60" t="s">
        <v>443</v>
      </c>
      <c r="C184" s="61"/>
      <c r="D184" s="149">
        <f>D185</f>
        <v>78.8</v>
      </c>
      <c r="E184" s="150">
        <f>E185</f>
        <v>76.900000000000006</v>
      </c>
      <c r="F184" s="989"/>
      <c r="G184" s="990"/>
      <c r="H184" s="990"/>
      <c r="I184" s="991"/>
    </row>
    <row r="185" spans="1:9" ht="186.5" thickBot="1">
      <c r="A185" s="552" t="s">
        <v>162</v>
      </c>
      <c r="B185" s="564" t="s">
        <v>444</v>
      </c>
      <c r="C185" s="550" t="s">
        <v>163</v>
      </c>
      <c r="D185" s="255">
        <v>78.8</v>
      </c>
      <c r="E185" s="254">
        <v>76.900000000000006</v>
      </c>
      <c r="F185" s="517" t="s">
        <v>164</v>
      </c>
      <c r="G185" s="512">
        <v>12</v>
      </c>
      <c r="H185" s="512">
        <v>11</v>
      </c>
      <c r="I185" s="636" t="s">
        <v>1120</v>
      </c>
    </row>
    <row r="186" spans="1:9" ht="33.75" customHeight="1" thickBot="1">
      <c r="A186" s="59" t="s">
        <v>112</v>
      </c>
      <c r="B186" s="60" t="s">
        <v>165</v>
      </c>
      <c r="C186" s="61"/>
      <c r="D186" s="149">
        <f>SUM(D187:D205)</f>
        <v>868.19999999999993</v>
      </c>
      <c r="E186" s="149">
        <f>SUM(E187:E205)</f>
        <v>670.30000000000018</v>
      </c>
      <c r="F186" s="989"/>
      <c r="G186" s="990"/>
      <c r="H186" s="990"/>
      <c r="I186" s="991"/>
    </row>
    <row r="187" spans="1:9" ht="78" customHeight="1">
      <c r="A187" s="698" t="s">
        <v>114</v>
      </c>
      <c r="B187" s="828" t="s">
        <v>645</v>
      </c>
      <c r="C187" s="701" t="s">
        <v>18</v>
      </c>
      <c r="D187" s="703">
        <v>121.4</v>
      </c>
      <c r="E187" s="829">
        <v>121.4</v>
      </c>
      <c r="F187" s="599" t="s">
        <v>646</v>
      </c>
      <c r="G187" s="602">
        <v>5000</v>
      </c>
      <c r="H187" s="602">
        <v>9227</v>
      </c>
      <c r="I187" s="407" t="s">
        <v>997</v>
      </c>
    </row>
    <row r="188" spans="1:9" ht="48.75" customHeight="1">
      <c r="A188" s="722"/>
      <c r="B188" s="828"/>
      <c r="C188" s="721"/>
      <c r="D188" s="671"/>
      <c r="E188" s="752"/>
      <c r="F188" s="600" t="s">
        <v>647</v>
      </c>
      <c r="G188" s="603">
        <v>350</v>
      </c>
      <c r="H188" s="603">
        <v>954</v>
      </c>
      <c r="I188" s="504"/>
    </row>
    <row r="189" spans="1:9" ht="80.25" customHeight="1">
      <c r="A189" s="722"/>
      <c r="B189" s="828"/>
      <c r="C189" s="700"/>
      <c r="D189" s="672"/>
      <c r="E189" s="733"/>
      <c r="F189" s="517" t="s">
        <v>445</v>
      </c>
      <c r="G189" s="512">
        <v>800</v>
      </c>
      <c r="H189" s="512">
        <v>145</v>
      </c>
      <c r="I189" s="280"/>
    </row>
    <row r="190" spans="1:9" ht="51" customHeight="1">
      <c r="A190" s="697"/>
      <c r="B190" s="828"/>
      <c r="C190" s="535" t="s">
        <v>22</v>
      </c>
      <c r="D190" s="533">
        <v>3.3</v>
      </c>
      <c r="E190" s="259">
        <v>2.7</v>
      </c>
      <c r="F190" s="516" t="s">
        <v>446</v>
      </c>
      <c r="G190" s="511">
        <v>51</v>
      </c>
      <c r="H190" s="511">
        <v>100</v>
      </c>
      <c r="I190" s="504"/>
    </row>
    <row r="191" spans="1:9" ht="77.25" customHeight="1">
      <c r="A191" s="675" t="s">
        <v>115</v>
      </c>
      <c r="B191" s="677" t="s">
        <v>648</v>
      </c>
      <c r="C191" s="699" t="s">
        <v>18</v>
      </c>
      <c r="D191" s="670">
        <f>207.5+3.3+3.3+3.3+3.3+3.3+3.3</f>
        <v>227.30000000000007</v>
      </c>
      <c r="E191" s="670">
        <f>3.3+3.3+3.3+3.3+3.3+3.3+207.5</f>
        <v>227.3</v>
      </c>
      <c r="F191" s="600" t="s">
        <v>646</v>
      </c>
      <c r="G191" s="603">
        <v>20000</v>
      </c>
      <c r="H191" s="603">
        <v>37178</v>
      </c>
      <c r="I191" s="667" t="s">
        <v>554</v>
      </c>
    </row>
    <row r="192" spans="1:9" ht="47.25" customHeight="1">
      <c r="A192" s="827"/>
      <c r="B192" s="716"/>
      <c r="C192" s="721"/>
      <c r="D192" s="671"/>
      <c r="E192" s="671"/>
      <c r="F192" s="600" t="s">
        <v>647</v>
      </c>
      <c r="G192" s="603">
        <v>600</v>
      </c>
      <c r="H192" s="603">
        <v>1398</v>
      </c>
      <c r="I192" s="668"/>
    </row>
    <row r="193" spans="1:16" ht="73.5" customHeight="1">
      <c r="A193" s="827"/>
      <c r="B193" s="716"/>
      <c r="C193" s="721"/>
      <c r="D193" s="671"/>
      <c r="E193" s="671"/>
      <c r="F193" s="600" t="s">
        <v>445</v>
      </c>
      <c r="G193" s="603">
        <v>900</v>
      </c>
      <c r="H193" s="603">
        <v>511</v>
      </c>
      <c r="I193" s="668"/>
    </row>
    <row r="194" spans="1:16" ht="19.5" customHeight="1">
      <c r="A194" s="676"/>
      <c r="B194" s="678"/>
      <c r="C194" s="700"/>
      <c r="D194" s="672"/>
      <c r="E194" s="672"/>
      <c r="F194" s="600" t="s">
        <v>1137</v>
      </c>
      <c r="G194" s="603">
        <f>213+234+225+220+224+239</f>
        <v>1355</v>
      </c>
      <c r="H194" s="603">
        <v>1348</v>
      </c>
      <c r="I194" s="669"/>
    </row>
    <row r="195" spans="1:16" ht="42">
      <c r="A195" s="724" t="s">
        <v>117</v>
      </c>
      <c r="B195" s="842" t="s">
        <v>649</v>
      </c>
      <c r="C195" s="606" t="s">
        <v>20</v>
      </c>
      <c r="D195" s="593">
        <v>28.3</v>
      </c>
      <c r="E195" s="184">
        <v>22</v>
      </c>
      <c r="F195" s="600" t="s">
        <v>650</v>
      </c>
      <c r="G195" s="603">
        <v>33479</v>
      </c>
      <c r="H195" s="603">
        <v>33283</v>
      </c>
      <c r="I195" s="753" t="s">
        <v>1121</v>
      </c>
      <c r="J195" s="476"/>
      <c r="K195" s="457"/>
      <c r="L195" s="457"/>
      <c r="M195" s="457"/>
    </row>
    <row r="196" spans="1:16" ht="21.75" customHeight="1">
      <c r="A196" s="676"/>
      <c r="B196" s="828"/>
      <c r="C196" s="536" t="s">
        <v>100</v>
      </c>
      <c r="D196" s="362">
        <v>0</v>
      </c>
      <c r="E196" s="632">
        <v>0</v>
      </c>
      <c r="F196" s="727" t="s">
        <v>447</v>
      </c>
      <c r="G196" s="744">
        <v>100</v>
      </c>
      <c r="H196" s="744">
        <v>90</v>
      </c>
      <c r="I196" s="668"/>
    </row>
    <row r="197" spans="1:16" ht="21.75" customHeight="1">
      <c r="A197" s="724"/>
      <c r="B197" s="731"/>
      <c r="C197" s="606" t="s">
        <v>67</v>
      </c>
      <c r="D197" s="593">
        <v>348.2</v>
      </c>
      <c r="E197" s="184">
        <v>202.6</v>
      </c>
      <c r="F197" s="728"/>
      <c r="G197" s="745"/>
      <c r="H197" s="745"/>
      <c r="I197" s="753"/>
    </row>
    <row r="198" spans="1:16" ht="38.25" customHeight="1">
      <c r="A198" s="675" t="s">
        <v>119</v>
      </c>
      <c r="B198" s="677" t="s">
        <v>651</v>
      </c>
      <c r="C198" s="606" t="s">
        <v>20</v>
      </c>
      <c r="D198" s="191">
        <v>1.3</v>
      </c>
      <c r="E198" s="228">
        <v>0.1</v>
      </c>
      <c r="F198" s="842" t="s">
        <v>652</v>
      </c>
      <c r="G198" s="744">
        <v>27</v>
      </c>
      <c r="H198" s="744">
        <v>27</v>
      </c>
      <c r="I198" s="914" t="s">
        <v>555</v>
      </c>
    </row>
    <row r="199" spans="1:16" ht="55.5" customHeight="1">
      <c r="A199" s="827"/>
      <c r="B199" s="716"/>
      <c r="C199" s="606" t="s">
        <v>100</v>
      </c>
      <c r="D199" s="191">
        <v>0.5</v>
      </c>
      <c r="E199" s="228">
        <v>0.4</v>
      </c>
      <c r="F199" s="731"/>
      <c r="G199" s="745"/>
      <c r="H199" s="745"/>
      <c r="I199" s="922"/>
    </row>
    <row r="200" spans="1:16" ht="24.75" customHeight="1">
      <c r="A200" s="676"/>
      <c r="B200" s="678"/>
      <c r="C200" s="606" t="s">
        <v>67</v>
      </c>
      <c r="D200" s="191">
        <v>5.0999999999999996</v>
      </c>
      <c r="E200" s="228">
        <v>2.6</v>
      </c>
      <c r="F200" s="565" t="s">
        <v>441</v>
      </c>
      <c r="G200" s="503">
        <v>40</v>
      </c>
      <c r="H200" s="503">
        <v>40</v>
      </c>
      <c r="I200" s="915"/>
    </row>
    <row r="201" spans="1:16" ht="39.75" customHeight="1">
      <c r="A201" s="675" t="s">
        <v>219</v>
      </c>
      <c r="B201" s="677" t="s">
        <v>653</v>
      </c>
      <c r="C201" s="606" t="s">
        <v>20</v>
      </c>
      <c r="D201" s="191">
        <v>28.3</v>
      </c>
      <c r="E201" s="228">
        <v>3</v>
      </c>
      <c r="F201" s="727" t="s">
        <v>654</v>
      </c>
      <c r="G201" s="744">
        <v>476</v>
      </c>
      <c r="H201" s="744">
        <v>400</v>
      </c>
      <c r="I201" s="667" t="s">
        <v>556</v>
      </c>
    </row>
    <row r="202" spans="1:16" ht="19.5" customHeight="1">
      <c r="A202" s="827"/>
      <c r="B202" s="716"/>
      <c r="C202" s="606" t="s">
        <v>100</v>
      </c>
      <c r="D202" s="191">
        <v>4.3</v>
      </c>
      <c r="E202" s="184">
        <v>2.7</v>
      </c>
      <c r="F202" s="728"/>
      <c r="G202" s="745"/>
      <c r="H202" s="745"/>
      <c r="I202" s="668"/>
    </row>
    <row r="203" spans="1:16" ht="20.25" customHeight="1">
      <c r="A203" s="676"/>
      <c r="B203" s="678"/>
      <c r="C203" s="537" t="s">
        <v>67</v>
      </c>
      <c r="D203" s="568">
        <v>43.4</v>
      </c>
      <c r="E203" s="245">
        <v>30.6</v>
      </c>
      <c r="F203" s="565" t="s">
        <v>447</v>
      </c>
      <c r="G203" s="503">
        <v>30</v>
      </c>
      <c r="H203" s="503">
        <v>30</v>
      </c>
      <c r="I203" s="669"/>
    </row>
    <row r="204" spans="1:16" ht="42">
      <c r="A204" s="562" t="s">
        <v>222</v>
      </c>
      <c r="B204" s="586" t="s">
        <v>655</v>
      </c>
      <c r="C204" s="606" t="s">
        <v>20</v>
      </c>
      <c r="D204" s="191">
        <v>5.6</v>
      </c>
      <c r="E204" s="184">
        <v>3.7</v>
      </c>
      <c r="F204" s="600" t="s">
        <v>656</v>
      </c>
      <c r="G204" s="603">
        <v>40</v>
      </c>
      <c r="H204" s="603">
        <v>28</v>
      </c>
      <c r="I204" s="177" t="s">
        <v>998</v>
      </c>
    </row>
    <row r="205" spans="1:16" ht="110.25" customHeight="1" thickBot="1">
      <c r="A205" s="613" t="s">
        <v>225</v>
      </c>
      <c r="B205" s="212" t="s">
        <v>657</v>
      </c>
      <c r="C205" s="213" t="s">
        <v>18</v>
      </c>
      <c r="D205" s="238">
        <v>51.2</v>
      </c>
      <c r="E205" s="239">
        <v>51.2</v>
      </c>
      <c r="F205" s="601" t="s">
        <v>658</v>
      </c>
      <c r="G205" s="604">
        <v>500</v>
      </c>
      <c r="H205" s="604">
        <v>441</v>
      </c>
      <c r="I205" s="444" t="s">
        <v>1012</v>
      </c>
    </row>
    <row r="206" spans="1:16" ht="35.25" customHeight="1" thickBot="1">
      <c r="A206" s="481" t="s">
        <v>25</v>
      </c>
      <c r="B206" s="482" t="s">
        <v>1070</v>
      </c>
      <c r="C206" s="483"/>
      <c r="D206" s="484">
        <f>D207</f>
        <v>0</v>
      </c>
      <c r="E206" s="484">
        <f>E207</f>
        <v>23</v>
      </c>
      <c r="F206" s="692"/>
      <c r="G206" s="693"/>
      <c r="H206" s="693"/>
      <c r="I206" s="694"/>
    </row>
    <row r="207" spans="1:16" ht="49.5" customHeight="1" thickBot="1">
      <c r="A207" s="59" t="s">
        <v>27</v>
      </c>
      <c r="B207" s="485" t="s">
        <v>1071</v>
      </c>
      <c r="C207" s="61"/>
      <c r="D207" s="486">
        <f>SUM(D208:D208)</f>
        <v>0</v>
      </c>
      <c r="E207" s="486">
        <f>SUM(E208:E208)</f>
        <v>23</v>
      </c>
      <c r="F207" s="983"/>
      <c r="G207" s="984"/>
      <c r="H207" s="984"/>
      <c r="I207" s="985"/>
    </row>
    <row r="208" spans="1:16" ht="31.5" customHeight="1" thickBot="1">
      <c r="A208" s="560" t="s">
        <v>29</v>
      </c>
      <c r="B208" s="539" t="s">
        <v>1072</v>
      </c>
      <c r="C208" s="540" t="s">
        <v>20</v>
      </c>
      <c r="D208" s="541">
        <v>0</v>
      </c>
      <c r="E208" s="546">
        <v>23</v>
      </c>
      <c r="F208" s="599" t="s">
        <v>1096</v>
      </c>
      <c r="G208" s="602">
        <v>0</v>
      </c>
      <c r="H208" s="602">
        <v>1</v>
      </c>
      <c r="I208" s="510" t="s">
        <v>1073</v>
      </c>
      <c r="J208" s="500"/>
      <c r="K208" s="479"/>
      <c r="L208" s="479"/>
      <c r="M208" s="479"/>
      <c r="N208" s="471"/>
      <c r="O208" s="471"/>
      <c r="P208" s="471"/>
    </row>
    <row r="209" spans="1:14" ht="28.5" thickBot="1">
      <c r="A209" s="79" t="s">
        <v>336</v>
      </c>
      <c r="B209" s="80" t="s">
        <v>166</v>
      </c>
      <c r="C209" s="81"/>
      <c r="D209" s="155">
        <f>D210+D229</f>
        <v>1168.0999999999999</v>
      </c>
      <c r="E209" s="155">
        <f>E210+E229</f>
        <v>1016.1800000000001</v>
      </c>
      <c r="F209" s="82"/>
      <c r="G209" s="83"/>
      <c r="H209" s="83"/>
      <c r="I209" s="84"/>
    </row>
    <row r="210" spans="1:14" ht="28.5" thickBot="1">
      <c r="A210" s="74" t="s">
        <v>68</v>
      </c>
      <c r="B210" s="69" t="s">
        <v>167</v>
      </c>
      <c r="C210" s="70"/>
      <c r="D210" s="156">
        <f>D211+D216</f>
        <v>687.1</v>
      </c>
      <c r="E210" s="156">
        <f>E211+E216</f>
        <v>771.98000000000013</v>
      </c>
      <c r="F210" s="1015"/>
      <c r="G210" s="1016"/>
      <c r="H210" s="1016"/>
      <c r="I210" s="1017"/>
    </row>
    <row r="211" spans="1:14" ht="46.5" customHeight="1" thickBot="1">
      <c r="A211" s="75" t="s">
        <v>12</v>
      </c>
      <c r="B211" s="66" t="s">
        <v>168</v>
      </c>
      <c r="C211" s="71"/>
      <c r="D211" s="157">
        <f>D212</f>
        <v>75.5</v>
      </c>
      <c r="E211" s="157">
        <f>E212</f>
        <v>105</v>
      </c>
      <c r="F211" s="1018"/>
      <c r="G211" s="938"/>
      <c r="H211" s="938"/>
      <c r="I211" s="939"/>
    </row>
    <row r="212" spans="1:14" ht="44.25" customHeight="1" thickBot="1">
      <c r="A212" s="76" t="s">
        <v>161</v>
      </c>
      <c r="B212" s="72" t="s">
        <v>169</v>
      </c>
      <c r="C212" s="73"/>
      <c r="D212" s="158">
        <f>D213</f>
        <v>75.5</v>
      </c>
      <c r="E212" s="158">
        <f>E213</f>
        <v>105</v>
      </c>
      <c r="F212" s="725"/>
      <c r="G212" s="725"/>
      <c r="H212" s="725"/>
      <c r="I212" s="726"/>
      <c r="J212" s="476"/>
      <c r="K212" s="476"/>
      <c r="L212" s="476"/>
      <c r="M212" s="457"/>
      <c r="N212" s="471"/>
    </row>
    <row r="213" spans="1:14" ht="45" customHeight="1">
      <c r="A213" s="865" t="s">
        <v>162</v>
      </c>
      <c r="B213" s="657" t="s">
        <v>659</v>
      </c>
      <c r="C213" s="701" t="s">
        <v>20</v>
      </c>
      <c r="D213" s="703">
        <v>75.5</v>
      </c>
      <c r="E213" s="829">
        <v>105</v>
      </c>
      <c r="F213" s="260" t="s">
        <v>660</v>
      </c>
      <c r="G213" s="602">
        <v>1</v>
      </c>
      <c r="H213" s="602">
        <v>1</v>
      </c>
      <c r="I213" s="663" t="s">
        <v>897</v>
      </c>
    </row>
    <row r="214" spans="1:14" ht="17.25" customHeight="1">
      <c r="A214" s="722"/>
      <c r="B214" s="716"/>
      <c r="C214" s="721"/>
      <c r="D214" s="671"/>
      <c r="E214" s="752"/>
      <c r="F214" s="517" t="s">
        <v>661</v>
      </c>
      <c r="G214" s="512">
        <v>3</v>
      </c>
      <c r="H214" s="603">
        <v>0</v>
      </c>
      <c r="I214" s="668"/>
    </row>
    <row r="215" spans="1:14" ht="15" thickBot="1">
      <c r="A215" s="868"/>
      <c r="B215" s="658"/>
      <c r="C215" s="702"/>
      <c r="D215" s="704"/>
      <c r="E215" s="755"/>
      <c r="F215" s="261" t="s">
        <v>662</v>
      </c>
      <c r="G215" s="604">
        <v>4</v>
      </c>
      <c r="H215" s="512">
        <v>3</v>
      </c>
      <c r="I215" s="664"/>
    </row>
    <row r="216" spans="1:14" ht="51" customHeight="1" thickBot="1">
      <c r="A216" s="65" t="s">
        <v>171</v>
      </c>
      <c r="B216" s="66" t="s">
        <v>663</v>
      </c>
      <c r="C216" s="67"/>
      <c r="D216" s="174">
        <f>D217+D220+D223+D226</f>
        <v>611.6</v>
      </c>
      <c r="E216" s="174">
        <f>E217+E220+E223+E226</f>
        <v>666.98000000000013</v>
      </c>
      <c r="F216" s="937"/>
      <c r="G216" s="938"/>
      <c r="H216" s="938"/>
      <c r="I216" s="939"/>
    </row>
    <row r="217" spans="1:14" ht="60" customHeight="1" thickBot="1">
      <c r="A217" s="78" t="s">
        <v>27</v>
      </c>
      <c r="B217" s="72" t="s">
        <v>337</v>
      </c>
      <c r="C217" s="77"/>
      <c r="D217" s="159">
        <f>D218+D219</f>
        <v>25</v>
      </c>
      <c r="E217" s="159">
        <f>E218+E219</f>
        <v>69.180000000000007</v>
      </c>
      <c r="F217" s="830"/>
      <c r="G217" s="831"/>
      <c r="H217" s="831"/>
      <c r="I217" s="832"/>
    </row>
    <row r="218" spans="1:14" ht="22.5" customHeight="1">
      <c r="A218" s="841" t="s">
        <v>29</v>
      </c>
      <c r="B218" s="657" t="s">
        <v>664</v>
      </c>
      <c r="C218" s="262" t="s">
        <v>20</v>
      </c>
      <c r="D218" s="263">
        <v>15</v>
      </c>
      <c r="E218" s="264">
        <v>15</v>
      </c>
      <c r="F218" s="271" t="s">
        <v>338</v>
      </c>
      <c r="G218" s="460">
        <v>8</v>
      </c>
      <c r="H218" s="460">
        <v>5</v>
      </c>
      <c r="I218" s="663" t="s">
        <v>1122</v>
      </c>
    </row>
    <row r="219" spans="1:14" ht="35.25" customHeight="1" thickBot="1">
      <c r="A219" s="691"/>
      <c r="B219" s="658"/>
      <c r="C219" s="265" t="s">
        <v>335</v>
      </c>
      <c r="D219" s="266">
        <v>10</v>
      </c>
      <c r="E219" s="253">
        <v>54.18</v>
      </c>
      <c r="F219" s="458" t="s">
        <v>1010</v>
      </c>
      <c r="G219" s="459">
        <v>0</v>
      </c>
      <c r="H219" s="459">
        <v>13</v>
      </c>
      <c r="I219" s="664"/>
    </row>
    <row r="220" spans="1:14" ht="28.5" thickBot="1">
      <c r="A220" s="78" t="s">
        <v>127</v>
      </c>
      <c r="B220" s="72" t="s">
        <v>172</v>
      </c>
      <c r="C220" s="77"/>
      <c r="D220" s="159">
        <f>SUM(D221:D222)</f>
        <v>442</v>
      </c>
      <c r="E220" s="159">
        <f>SUM(E221:E222)</f>
        <v>462</v>
      </c>
      <c r="F220" s="830"/>
      <c r="G220" s="831"/>
      <c r="H220" s="831"/>
      <c r="I220" s="832"/>
    </row>
    <row r="221" spans="1:14" ht="33.75" customHeight="1">
      <c r="A221" s="375" t="s">
        <v>129</v>
      </c>
      <c r="B221" s="589" t="s">
        <v>665</v>
      </c>
      <c r="C221" s="590" t="s">
        <v>20</v>
      </c>
      <c r="D221" s="592">
        <v>2</v>
      </c>
      <c r="E221" s="267">
        <v>2</v>
      </c>
      <c r="F221" s="599" t="s">
        <v>449</v>
      </c>
      <c r="G221" s="268">
        <v>140</v>
      </c>
      <c r="H221" s="268">
        <v>147</v>
      </c>
      <c r="I221" s="583" t="s">
        <v>557</v>
      </c>
    </row>
    <row r="222" spans="1:14" ht="62.25" customHeight="1" thickBot="1">
      <c r="A222" s="562" t="s">
        <v>321</v>
      </c>
      <c r="B222" s="586" t="s">
        <v>451</v>
      </c>
      <c r="C222" s="606" t="s">
        <v>20</v>
      </c>
      <c r="D222" s="191">
        <v>440</v>
      </c>
      <c r="E222" s="184">
        <v>460</v>
      </c>
      <c r="F222" s="516" t="s">
        <v>452</v>
      </c>
      <c r="G222" s="610">
        <v>27</v>
      </c>
      <c r="H222" s="610">
        <v>25</v>
      </c>
      <c r="I222" s="578" t="s">
        <v>895</v>
      </c>
    </row>
    <row r="223" spans="1:14" ht="33.75" customHeight="1" thickBot="1">
      <c r="A223" s="76" t="s">
        <v>237</v>
      </c>
      <c r="B223" s="72" t="s">
        <v>339</v>
      </c>
      <c r="C223" s="73"/>
      <c r="D223" s="160">
        <f>SUM(D224:D225)</f>
        <v>134.6</v>
      </c>
      <c r="E223" s="160">
        <f>SUM(E224:E225)</f>
        <v>134.6</v>
      </c>
      <c r="F223" s="1031"/>
      <c r="G223" s="725"/>
      <c r="H223" s="725"/>
      <c r="I223" s="726"/>
    </row>
    <row r="224" spans="1:14" ht="31.5" customHeight="1">
      <c r="A224" s="681" t="s">
        <v>238</v>
      </c>
      <c r="B224" s="844" t="s">
        <v>453</v>
      </c>
      <c r="C224" s="701" t="s">
        <v>18</v>
      </c>
      <c r="D224" s="703">
        <v>134.6</v>
      </c>
      <c r="E224" s="829">
        <v>134.6</v>
      </c>
      <c r="F224" s="599" t="s">
        <v>666</v>
      </c>
      <c r="G224" s="269">
        <v>60</v>
      </c>
      <c r="H224" s="602">
        <v>40</v>
      </c>
      <c r="I224" s="746" t="s">
        <v>999</v>
      </c>
    </row>
    <row r="225" spans="1:14" ht="34.5" customHeight="1" thickBot="1">
      <c r="A225" s="759"/>
      <c r="B225" s="845"/>
      <c r="C225" s="702"/>
      <c r="D225" s="704"/>
      <c r="E225" s="975"/>
      <c r="F225" s="468" t="s">
        <v>173</v>
      </c>
      <c r="G225" s="615">
        <v>0.09</v>
      </c>
      <c r="H225" s="344">
        <v>0.114</v>
      </c>
      <c r="I225" s="747"/>
      <c r="K225" s="90"/>
    </row>
    <row r="226" spans="1:14" ht="32.25" customHeight="1" thickBot="1">
      <c r="A226" s="76" t="s">
        <v>137</v>
      </c>
      <c r="B226" s="72" t="s">
        <v>454</v>
      </c>
      <c r="C226" s="73"/>
      <c r="D226" s="160">
        <f>SUM(D227:D228)</f>
        <v>10</v>
      </c>
      <c r="E226" s="160">
        <f>SUM(E227:E228)</f>
        <v>1.2</v>
      </c>
      <c r="F226" s="725"/>
      <c r="G226" s="725"/>
      <c r="H226" s="725"/>
      <c r="I226" s="726"/>
      <c r="K226" s="90"/>
    </row>
    <row r="227" spans="1:14" ht="30" customHeight="1">
      <c r="A227" s="605" t="s">
        <v>139</v>
      </c>
      <c r="B227" s="209" t="s">
        <v>574</v>
      </c>
      <c r="C227" s="590" t="s">
        <v>20</v>
      </c>
      <c r="D227" s="198">
        <v>4</v>
      </c>
      <c r="E227" s="403">
        <v>1.2</v>
      </c>
      <c r="F227" s="599" t="s">
        <v>457</v>
      </c>
      <c r="G227" s="269">
        <v>3</v>
      </c>
      <c r="H227" s="602">
        <v>3</v>
      </c>
      <c r="I227" s="583" t="s">
        <v>558</v>
      </c>
      <c r="K227" s="90"/>
    </row>
    <row r="228" spans="1:14" ht="93.75" customHeight="1" thickBot="1">
      <c r="A228" s="525" t="s">
        <v>455</v>
      </c>
      <c r="B228" s="563" t="s">
        <v>667</v>
      </c>
      <c r="C228" s="535" t="s">
        <v>20</v>
      </c>
      <c r="D228" s="566">
        <v>6</v>
      </c>
      <c r="E228" s="423">
        <v>0</v>
      </c>
      <c r="F228" s="516" t="s">
        <v>458</v>
      </c>
      <c r="G228" s="404">
        <v>490</v>
      </c>
      <c r="H228" s="511">
        <v>0</v>
      </c>
      <c r="I228" s="507" t="s">
        <v>896</v>
      </c>
      <c r="K228" s="90"/>
    </row>
    <row r="229" spans="1:14" ht="20.25" customHeight="1" thickBot="1">
      <c r="A229" s="405" t="s">
        <v>89</v>
      </c>
      <c r="B229" s="363" t="s">
        <v>174</v>
      </c>
      <c r="C229" s="364"/>
      <c r="D229" s="365">
        <f>D230+D238</f>
        <v>481</v>
      </c>
      <c r="E229" s="365">
        <f>E230+E238</f>
        <v>244.2</v>
      </c>
      <c r="F229" s="976"/>
      <c r="G229" s="977"/>
      <c r="H229" s="977"/>
      <c r="I229" s="978"/>
    </row>
    <row r="230" spans="1:14" ht="33.75" customHeight="1" thickBot="1">
      <c r="A230" s="89" t="s">
        <v>12</v>
      </c>
      <c r="B230" s="85" t="s">
        <v>175</v>
      </c>
      <c r="C230" s="86"/>
      <c r="D230" s="161">
        <f>D231+D234</f>
        <v>7</v>
      </c>
      <c r="E230" s="161">
        <f>E231+E234</f>
        <v>5.8000000000000007</v>
      </c>
      <c r="F230" s="979"/>
      <c r="G230" s="980"/>
      <c r="H230" s="980"/>
      <c r="I230" s="981"/>
    </row>
    <row r="231" spans="1:14" ht="33" customHeight="1" thickBot="1">
      <c r="A231" s="87" t="s">
        <v>161</v>
      </c>
      <c r="B231" s="87" t="s">
        <v>176</v>
      </c>
      <c r="C231" s="88"/>
      <c r="D231" s="162">
        <f>D232</f>
        <v>5</v>
      </c>
      <c r="E231" s="162">
        <f>E232</f>
        <v>3.7</v>
      </c>
      <c r="F231" s="1028"/>
      <c r="G231" s="1029"/>
      <c r="H231" s="1029"/>
      <c r="I231" s="1030"/>
    </row>
    <row r="232" spans="1:14" ht="24" customHeight="1">
      <c r="A232" s="724" t="s">
        <v>162</v>
      </c>
      <c r="B232" s="657" t="s">
        <v>668</v>
      </c>
      <c r="C232" s="701" t="s">
        <v>20</v>
      </c>
      <c r="D232" s="703">
        <v>5</v>
      </c>
      <c r="E232" s="974">
        <v>3.7</v>
      </c>
      <c r="F232" s="599" t="s">
        <v>177</v>
      </c>
      <c r="G232" s="602">
        <v>1</v>
      </c>
      <c r="H232" s="602">
        <v>1</v>
      </c>
      <c r="I232" s="687" t="s">
        <v>1014</v>
      </c>
    </row>
    <row r="233" spans="1:14" ht="24" customHeight="1" thickBot="1">
      <c r="A233" s="675"/>
      <c r="B233" s="658"/>
      <c r="C233" s="723"/>
      <c r="D233" s="755"/>
      <c r="E233" s="751"/>
      <c r="F233" s="601" t="s">
        <v>178</v>
      </c>
      <c r="G233" s="604">
        <v>3</v>
      </c>
      <c r="H233" s="604">
        <v>3</v>
      </c>
      <c r="I233" s="982"/>
      <c r="J233" s="476"/>
      <c r="K233" s="476"/>
      <c r="L233" s="476"/>
      <c r="M233" s="457"/>
      <c r="N233" s="471"/>
    </row>
    <row r="234" spans="1:14" ht="28.5" thickBot="1">
      <c r="A234" s="93" t="s">
        <v>112</v>
      </c>
      <c r="B234" s="91" t="s">
        <v>179</v>
      </c>
      <c r="C234" s="92"/>
      <c r="D234" s="161">
        <f>D235</f>
        <v>2</v>
      </c>
      <c r="E234" s="161">
        <f>E235</f>
        <v>2.1</v>
      </c>
      <c r="F234" s="1023"/>
      <c r="G234" s="1024"/>
      <c r="H234" s="1024"/>
      <c r="I234" s="1025"/>
      <c r="J234" s="476"/>
      <c r="K234" s="476"/>
      <c r="L234" s="476"/>
      <c r="M234" s="457"/>
      <c r="N234" s="471"/>
    </row>
    <row r="235" spans="1:14" ht="28">
      <c r="A235" s="676" t="s">
        <v>114</v>
      </c>
      <c r="B235" s="844" t="s">
        <v>180</v>
      </c>
      <c r="C235" s="701" t="s">
        <v>20</v>
      </c>
      <c r="D235" s="703">
        <v>2</v>
      </c>
      <c r="E235" s="749">
        <v>2.1</v>
      </c>
      <c r="F235" s="599" t="s">
        <v>181</v>
      </c>
      <c r="G235" s="602">
        <v>170</v>
      </c>
      <c r="H235" s="602">
        <v>191</v>
      </c>
      <c r="I235" s="746" t="s">
        <v>182</v>
      </c>
      <c r="J235" s="476"/>
      <c r="K235" s="476"/>
      <c r="L235" s="476"/>
      <c r="M235" s="457"/>
      <c r="N235" s="471"/>
    </row>
    <row r="236" spans="1:14" ht="33" customHeight="1">
      <c r="A236" s="724"/>
      <c r="B236" s="828"/>
      <c r="C236" s="754"/>
      <c r="D236" s="752"/>
      <c r="E236" s="750"/>
      <c r="F236" s="600" t="s">
        <v>183</v>
      </c>
      <c r="G236" s="603">
        <v>600</v>
      </c>
      <c r="H236" s="603">
        <v>308</v>
      </c>
      <c r="I236" s="753"/>
      <c r="J236" s="480"/>
      <c r="K236" s="474"/>
      <c r="L236" s="474"/>
      <c r="M236" s="474"/>
    </row>
    <row r="237" spans="1:14" ht="28.5" thickBot="1">
      <c r="A237" s="675"/>
      <c r="B237" s="845"/>
      <c r="C237" s="723"/>
      <c r="D237" s="755"/>
      <c r="E237" s="751"/>
      <c r="F237" s="601" t="s">
        <v>184</v>
      </c>
      <c r="G237" s="604">
        <v>800</v>
      </c>
      <c r="H237" s="604">
        <v>1026</v>
      </c>
      <c r="I237" s="747"/>
      <c r="J237" s="480"/>
      <c r="K237" s="474"/>
      <c r="L237" s="474"/>
      <c r="M237" s="474"/>
    </row>
    <row r="238" spans="1:14" ht="33" customHeight="1" thickBot="1">
      <c r="A238" s="89" t="s">
        <v>25</v>
      </c>
      <c r="B238" s="85" t="s">
        <v>340</v>
      </c>
      <c r="C238" s="86"/>
      <c r="D238" s="161">
        <f>D239</f>
        <v>474</v>
      </c>
      <c r="E238" s="161">
        <f>E239</f>
        <v>238.39999999999998</v>
      </c>
      <c r="F238" s="979"/>
      <c r="G238" s="980"/>
      <c r="H238" s="980"/>
      <c r="I238" s="981"/>
    </row>
    <row r="239" spans="1:14" ht="47.25" customHeight="1" thickBot="1">
      <c r="A239" s="87" t="s">
        <v>27</v>
      </c>
      <c r="B239" s="87" t="s">
        <v>185</v>
      </c>
      <c r="C239" s="88"/>
      <c r="D239" s="162">
        <f>SUM(D240:D251)</f>
        <v>474</v>
      </c>
      <c r="E239" s="162">
        <f>SUM(E240:E251)</f>
        <v>238.39999999999998</v>
      </c>
      <c r="F239" s="756"/>
      <c r="G239" s="757"/>
      <c r="H239" s="757"/>
      <c r="I239" s="758"/>
    </row>
    <row r="240" spans="1:14">
      <c r="A240" s="548" t="s">
        <v>29</v>
      </c>
      <c r="B240" s="539" t="s">
        <v>669</v>
      </c>
      <c r="C240" s="540" t="s">
        <v>20</v>
      </c>
      <c r="D240" s="541">
        <v>30</v>
      </c>
      <c r="E240" s="546">
        <v>30</v>
      </c>
      <c r="F240" s="271" t="s">
        <v>186</v>
      </c>
      <c r="G240" s="223">
        <v>25</v>
      </c>
      <c r="H240" s="223">
        <v>15</v>
      </c>
      <c r="I240" s="508" t="s">
        <v>1046</v>
      </c>
    </row>
    <row r="241" spans="1:13">
      <c r="A241" s="748" t="s">
        <v>31</v>
      </c>
      <c r="B241" s="842" t="s">
        <v>670</v>
      </c>
      <c r="C241" s="699" t="s">
        <v>20</v>
      </c>
      <c r="D241" s="670">
        <v>20</v>
      </c>
      <c r="E241" s="735">
        <v>14.9</v>
      </c>
      <c r="F241" s="516" t="s">
        <v>460</v>
      </c>
      <c r="G241" s="511">
        <v>1</v>
      </c>
      <c r="H241" s="511">
        <v>0</v>
      </c>
      <c r="I241" s="753" t="s">
        <v>559</v>
      </c>
    </row>
    <row r="242" spans="1:13" ht="19.5" customHeight="1">
      <c r="A242" s="748"/>
      <c r="B242" s="828"/>
      <c r="C242" s="721"/>
      <c r="D242" s="671"/>
      <c r="E242" s="752"/>
      <c r="F242" s="206" t="s">
        <v>671</v>
      </c>
      <c r="G242" s="511">
        <v>1</v>
      </c>
      <c r="H242" s="511">
        <v>1</v>
      </c>
      <c r="I242" s="753"/>
      <c r="J242" s="476"/>
      <c r="K242" s="457"/>
      <c r="L242" s="457"/>
      <c r="M242" s="457"/>
    </row>
    <row r="243" spans="1:13" ht="19.5" customHeight="1">
      <c r="A243" s="748"/>
      <c r="B243" s="731"/>
      <c r="C243" s="700"/>
      <c r="D243" s="672"/>
      <c r="E243" s="733"/>
      <c r="F243" s="272" t="s">
        <v>672</v>
      </c>
      <c r="G243" s="603">
        <v>3</v>
      </c>
      <c r="H243" s="603">
        <v>14</v>
      </c>
      <c r="I243" s="753"/>
      <c r="J243" s="476"/>
      <c r="K243" s="457"/>
      <c r="L243" s="457"/>
      <c r="M243" s="457"/>
    </row>
    <row r="244" spans="1:13" ht="18.75" customHeight="1">
      <c r="A244" s="675" t="s">
        <v>187</v>
      </c>
      <c r="B244" s="677" t="s">
        <v>673</v>
      </c>
      <c r="C244" s="535" t="s">
        <v>20</v>
      </c>
      <c r="D244" s="211">
        <v>52</v>
      </c>
      <c r="E244" s="522">
        <v>6.5</v>
      </c>
      <c r="F244" s="727" t="s">
        <v>1008</v>
      </c>
      <c r="G244" s="744">
        <v>1</v>
      </c>
      <c r="H244" s="729">
        <v>2</v>
      </c>
      <c r="I244" s="667" t="s">
        <v>1047</v>
      </c>
    </row>
    <row r="245" spans="1:13" ht="18.75" customHeight="1">
      <c r="A245" s="676"/>
      <c r="B245" s="678"/>
      <c r="C245" s="535" t="s">
        <v>67</v>
      </c>
      <c r="D245" s="211">
        <v>148</v>
      </c>
      <c r="E245" s="423">
        <v>0</v>
      </c>
      <c r="F245" s="728"/>
      <c r="G245" s="745"/>
      <c r="H245" s="730"/>
      <c r="I245" s="669"/>
    </row>
    <row r="246" spans="1:13" ht="21.75" customHeight="1">
      <c r="A246" s="675" t="s">
        <v>188</v>
      </c>
      <c r="B246" s="677" t="s">
        <v>674</v>
      </c>
      <c r="C246" s="699" t="s">
        <v>20</v>
      </c>
      <c r="D246" s="670">
        <v>14</v>
      </c>
      <c r="E246" s="735">
        <v>12.8</v>
      </c>
      <c r="F246" s="206" t="s">
        <v>675</v>
      </c>
      <c r="G246" s="511">
        <v>7</v>
      </c>
      <c r="H246" s="511">
        <v>7</v>
      </c>
      <c r="I246" s="667" t="s">
        <v>561</v>
      </c>
    </row>
    <row r="247" spans="1:13">
      <c r="A247" s="676"/>
      <c r="B247" s="678"/>
      <c r="C247" s="700"/>
      <c r="D247" s="672"/>
      <c r="E247" s="733"/>
      <c r="F247" s="206" t="s">
        <v>676</v>
      </c>
      <c r="G247" s="511">
        <v>5</v>
      </c>
      <c r="H247" s="511">
        <v>5</v>
      </c>
      <c r="I247" s="669"/>
    </row>
    <row r="248" spans="1:13" ht="32.25" customHeight="1">
      <c r="A248" s="562" t="s">
        <v>189</v>
      </c>
      <c r="B248" s="586" t="s">
        <v>677</v>
      </c>
      <c r="C248" s="606" t="s">
        <v>18</v>
      </c>
      <c r="D248" s="186">
        <v>134</v>
      </c>
      <c r="E248" s="595">
        <v>134</v>
      </c>
      <c r="F248" s="205" t="s">
        <v>678</v>
      </c>
      <c r="G248" s="603">
        <v>15</v>
      </c>
      <c r="H248" s="603">
        <v>11</v>
      </c>
      <c r="I248" s="514" t="s">
        <v>560</v>
      </c>
    </row>
    <row r="249" spans="1:13" ht="34.5" customHeight="1">
      <c r="A249" s="562" t="s">
        <v>264</v>
      </c>
      <c r="B249" s="574" t="s">
        <v>679</v>
      </c>
      <c r="C249" s="274" t="s">
        <v>20</v>
      </c>
      <c r="D249" s="593">
        <v>14</v>
      </c>
      <c r="E249" s="228">
        <v>7.4</v>
      </c>
      <c r="F249" s="197" t="s">
        <v>448</v>
      </c>
      <c r="G249" s="190">
        <v>5</v>
      </c>
      <c r="H249" s="190">
        <v>0</v>
      </c>
      <c r="I249" s="177" t="s">
        <v>1045</v>
      </c>
    </row>
    <row r="250" spans="1:13" ht="30" customHeight="1">
      <c r="A250" s="562" t="s">
        <v>265</v>
      </c>
      <c r="B250" s="574" t="s">
        <v>680</v>
      </c>
      <c r="C250" s="274" t="s">
        <v>20</v>
      </c>
      <c r="D250" s="191">
        <v>60</v>
      </c>
      <c r="E250" s="184">
        <v>32.299999999999997</v>
      </c>
      <c r="F250" s="600" t="s">
        <v>681</v>
      </c>
      <c r="G250" s="603">
        <v>20</v>
      </c>
      <c r="H250" s="603">
        <v>10</v>
      </c>
      <c r="I250" s="514" t="s">
        <v>1101</v>
      </c>
      <c r="J250" s="499"/>
      <c r="K250" s="493"/>
      <c r="L250" s="493"/>
      <c r="M250" s="471"/>
    </row>
    <row r="251" spans="1:13" ht="24" customHeight="1" thickBot="1">
      <c r="A251" s="551" t="s">
        <v>266</v>
      </c>
      <c r="B251" s="528" t="s">
        <v>291</v>
      </c>
      <c r="C251" s="274" t="s">
        <v>20</v>
      </c>
      <c r="D251" s="191">
        <v>2</v>
      </c>
      <c r="E251" s="184">
        <v>0.5</v>
      </c>
      <c r="F251" s="600" t="s">
        <v>682</v>
      </c>
      <c r="G251" s="603">
        <v>3</v>
      </c>
      <c r="H251" s="603">
        <v>6</v>
      </c>
      <c r="I251" s="507" t="s">
        <v>1123</v>
      </c>
      <c r="J251" s="499"/>
      <c r="K251" s="493"/>
      <c r="L251" s="493"/>
      <c r="M251" s="471"/>
    </row>
    <row r="252" spans="1:13" ht="49.5" customHeight="1" thickBot="1">
      <c r="A252" s="68" t="s">
        <v>341</v>
      </c>
      <c r="B252" s="94" t="s">
        <v>190</v>
      </c>
      <c r="C252" s="95"/>
      <c r="D252" s="575">
        <f>D253+D291</f>
        <v>15012.9</v>
      </c>
      <c r="E252" s="575">
        <f>E253+E291</f>
        <v>13327.9</v>
      </c>
      <c r="F252" s="944"/>
      <c r="G252" s="802"/>
      <c r="H252" s="802"/>
      <c r="I252" s="803"/>
    </row>
    <row r="253" spans="1:13" ht="38.25" customHeight="1" thickBot="1">
      <c r="A253" s="101" t="s">
        <v>191</v>
      </c>
      <c r="B253" s="102" t="s">
        <v>192</v>
      </c>
      <c r="C253" s="103"/>
      <c r="D253" s="163">
        <f>D254+D278</f>
        <v>2001.8</v>
      </c>
      <c r="E253" s="163">
        <f>E254+E278</f>
        <v>1637.1</v>
      </c>
      <c r="F253" s="741"/>
      <c r="G253" s="742"/>
      <c r="H253" s="742"/>
      <c r="I253" s="743"/>
    </row>
    <row r="254" spans="1:13" ht="49.5" customHeight="1" thickBot="1">
      <c r="A254" s="104" t="s">
        <v>12</v>
      </c>
      <c r="B254" s="105" t="s">
        <v>193</v>
      </c>
      <c r="C254" s="106"/>
      <c r="D254" s="164">
        <f>D255+D268+D271+D274</f>
        <v>1316.5</v>
      </c>
      <c r="E254" s="164">
        <f>E255+E268+E271+E274</f>
        <v>934.7</v>
      </c>
      <c r="F254" s="692"/>
      <c r="G254" s="693"/>
      <c r="H254" s="693"/>
      <c r="I254" s="694"/>
    </row>
    <row r="255" spans="1:13" ht="35.25" customHeight="1" thickBot="1">
      <c r="A255" s="98" t="s">
        <v>161</v>
      </c>
      <c r="B255" s="99" t="s">
        <v>683</v>
      </c>
      <c r="C255" s="100"/>
      <c r="D255" s="165">
        <f>SUM(D256:D267)</f>
        <v>1239.9000000000001</v>
      </c>
      <c r="E255" s="165">
        <f>SUM(E256:E267)</f>
        <v>871.1</v>
      </c>
      <c r="F255" s="738"/>
      <c r="G255" s="739"/>
      <c r="H255" s="739"/>
      <c r="I255" s="740"/>
    </row>
    <row r="256" spans="1:13" ht="49.5" customHeight="1">
      <c r="A256" s="605" t="s">
        <v>162</v>
      </c>
      <c r="B256" s="589" t="s">
        <v>684</v>
      </c>
      <c r="C256" s="589" t="s">
        <v>163</v>
      </c>
      <c r="D256" s="176">
        <v>2</v>
      </c>
      <c r="E256" s="176">
        <v>0.3</v>
      </c>
      <c r="F256" s="335" t="s">
        <v>342</v>
      </c>
      <c r="G256" s="303">
        <v>4</v>
      </c>
      <c r="H256" s="303">
        <v>1</v>
      </c>
      <c r="I256" s="406" t="s">
        <v>898</v>
      </c>
    </row>
    <row r="257" spans="1:14" ht="63" customHeight="1">
      <c r="A257" s="552" t="s">
        <v>170</v>
      </c>
      <c r="B257" s="529" t="s">
        <v>685</v>
      </c>
      <c r="C257" s="536" t="s">
        <v>163</v>
      </c>
      <c r="D257" s="544">
        <v>10</v>
      </c>
      <c r="E257" s="523">
        <v>4.5</v>
      </c>
      <c r="F257" s="275" t="s">
        <v>686</v>
      </c>
      <c r="G257" s="503">
        <v>15</v>
      </c>
      <c r="H257" s="503">
        <v>9.56</v>
      </c>
      <c r="I257" s="509" t="s">
        <v>899</v>
      </c>
    </row>
    <row r="258" spans="1:14" ht="47.25" customHeight="1">
      <c r="A258" s="697" t="s">
        <v>23</v>
      </c>
      <c r="B258" s="677" t="s">
        <v>343</v>
      </c>
      <c r="C258" s="843" t="s">
        <v>163</v>
      </c>
      <c r="D258" s="901">
        <v>147.80000000000001</v>
      </c>
      <c r="E258" s="736">
        <v>95.3</v>
      </c>
      <c r="F258" s="278" t="s">
        <v>687</v>
      </c>
      <c r="G258" s="603">
        <v>1</v>
      </c>
      <c r="H258" s="603">
        <v>0</v>
      </c>
      <c r="I258" s="410" t="s">
        <v>907</v>
      </c>
      <c r="J258" s="656"/>
      <c r="K258" s="656"/>
      <c r="L258" s="656"/>
      <c r="M258" s="457"/>
      <c r="N258" s="471"/>
    </row>
    <row r="259" spans="1:14" ht="61.5" customHeight="1">
      <c r="A259" s="722"/>
      <c r="B259" s="716"/>
      <c r="C259" s="700"/>
      <c r="D259" s="672"/>
      <c r="E259" s="737"/>
      <c r="F259" s="278" t="s">
        <v>900</v>
      </c>
      <c r="G259" s="503">
        <v>1</v>
      </c>
      <c r="H259" s="503">
        <v>4</v>
      </c>
      <c r="I259" s="409" t="s">
        <v>908</v>
      </c>
    </row>
    <row r="260" spans="1:14" ht="42">
      <c r="A260" s="698"/>
      <c r="B260" s="678"/>
      <c r="C260" s="537" t="s">
        <v>18</v>
      </c>
      <c r="D260" s="534">
        <v>100</v>
      </c>
      <c r="E260" s="424">
        <v>0</v>
      </c>
      <c r="F260" s="278" t="s">
        <v>688</v>
      </c>
      <c r="G260" s="503">
        <v>20</v>
      </c>
      <c r="H260" s="503">
        <v>0</v>
      </c>
      <c r="I260" s="410" t="s">
        <v>1067</v>
      </c>
    </row>
    <row r="261" spans="1:14" ht="46.5" customHeight="1">
      <c r="A261" s="698" t="s">
        <v>194</v>
      </c>
      <c r="B261" s="731" t="s">
        <v>689</v>
      </c>
      <c r="C261" s="700" t="s">
        <v>163</v>
      </c>
      <c r="D261" s="672">
        <v>135</v>
      </c>
      <c r="E261" s="733">
        <v>110.6</v>
      </c>
      <c r="F261" s="278" t="s">
        <v>690</v>
      </c>
      <c r="G261" s="276">
        <v>300</v>
      </c>
      <c r="H261" s="276">
        <v>238</v>
      </c>
      <c r="I261" s="695" t="s">
        <v>901</v>
      </c>
    </row>
    <row r="262" spans="1:14" ht="32.25" customHeight="1">
      <c r="A262" s="698"/>
      <c r="B262" s="731"/>
      <c r="C262" s="700"/>
      <c r="D262" s="672"/>
      <c r="E262" s="733"/>
      <c r="F262" s="278" t="s">
        <v>691</v>
      </c>
      <c r="G262" s="276">
        <v>1</v>
      </c>
      <c r="H262" s="276">
        <v>0</v>
      </c>
      <c r="I262" s="688"/>
    </row>
    <row r="263" spans="1:14" ht="30.75" customHeight="1">
      <c r="A263" s="748"/>
      <c r="B263" s="732"/>
      <c r="C263" s="840"/>
      <c r="D263" s="734"/>
      <c r="E263" s="734"/>
      <c r="F263" s="278" t="s">
        <v>692</v>
      </c>
      <c r="G263" s="279">
        <v>3</v>
      </c>
      <c r="H263" s="279">
        <v>3</v>
      </c>
      <c r="I263" s="696"/>
    </row>
    <row r="264" spans="1:14" ht="55.5" customHeight="1">
      <c r="A264" s="697" t="s">
        <v>195</v>
      </c>
      <c r="B264" s="677" t="s">
        <v>693</v>
      </c>
      <c r="C264" s="699" t="s">
        <v>163</v>
      </c>
      <c r="D264" s="670">
        <v>29</v>
      </c>
      <c r="E264" s="679">
        <v>26.3</v>
      </c>
      <c r="F264" s="278" t="s">
        <v>694</v>
      </c>
      <c r="G264" s="603">
        <v>5</v>
      </c>
      <c r="H264" s="603">
        <v>5</v>
      </c>
      <c r="I264" s="667" t="s">
        <v>902</v>
      </c>
    </row>
    <row r="265" spans="1:14" ht="41.25" customHeight="1">
      <c r="A265" s="698"/>
      <c r="B265" s="678"/>
      <c r="C265" s="700"/>
      <c r="D265" s="672"/>
      <c r="E265" s="680"/>
      <c r="F265" s="278" t="s">
        <v>695</v>
      </c>
      <c r="G265" s="603">
        <v>20</v>
      </c>
      <c r="H265" s="603">
        <v>9</v>
      </c>
      <c r="I265" s="669"/>
    </row>
    <row r="266" spans="1:14" ht="18.75" customHeight="1">
      <c r="A266" s="675" t="s">
        <v>196</v>
      </c>
      <c r="B266" s="677" t="s">
        <v>696</v>
      </c>
      <c r="C266" s="606" t="s">
        <v>100</v>
      </c>
      <c r="D266" s="593">
        <v>123</v>
      </c>
      <c r="E266" s="449">
        <v>121.4</v>
      </c>
      <c r="F266" s="278" t="s">
        <v>697</v>
      </c>
      <c r="G266" s="603">
        <v>479</v>
      </c>
      <c r="H266" s="603">
        <v>479</v>
      </c>
      <c r="I266" s="1026" t="s">
        <v>909</v>
      </c>
    </row>
    <row r="267" spans="1:14" ht="30.75" customHeight="1" thickBot="1">
      <c r="A267" s="676"/>
      <c r="B267" s="678"/>
      <c r="C267" s="537" t="s">
        <v>67</v>
      </c>
      <c r="D267" s="534">
        <v>693.1</v>
      </c>
      <c r="E267" s="612">
        <v>512.70000000000005</v>
      </c>
      <c r="F267" s="277" t="s">
        <v>441</v>
      </c>
      <c r="G267" s="603">
        <v>100</v>
      </c>
      <c r="H267" s="603">
        <v>100</v>
      </c>
      <c r="I267" s="1027"/>
    </row>
    <row r="268" spans="1:14" ht="33" customHeight="1" thickBot="1">
      <c r="A268" s="98" t="s">
        <v>112</v>
      </c>
      <c r="B268" s="99" t="s">
        <v>698</v>
      </c>
      <c r="C268" s="100"/>
      <c r="D268" s="165">
        <f>D269</f>
        <v>15.8</v>
      </c>
      <c r="E268" s="165">
        <f>E269</f>
        <v>12.2</v>
      </c>
      <c r="F268" s="738"/>
      <c r="G268" s="739"/>
      <c r="H268" s="739"/>
      <c r="I268" s="740"/>
    </row>
    <row r="269" spans="1:14" ht="107.25" customHeight="1">
      <c r="A269" s="681" t="s">
        <v>114</v>
      </c>
      <c r="B269" s="657" t="s">
        <v>197</v>
      </c>
      <c r="C269" s="657" t="s">
        <v>163</v>
      </c>
      <c r="D269" s="856">
        <v>15.8</v>
      </c>
      <c r="E269" s="851">
        <v>12.2</v>
      </c>
      <c r="F269" s="599" t="s">
        <v>699</v>
      </c>
      <c r="G269" s="602">
        <v>80</v>
      </c>
      <c r="H269" s="602">
        <v>150.1</v>
      </c>
      <c r="I269" s="407" t="s">
        <v>904</v>
      </c>
    </row>
    <row r="270" spans="1:14" ht="30" customHeight="1" thickBot="1">
      <c r="A270" s="682"/>
      <c r="B270" s="658"/>
      <c r="C270" s="723"/>
      <c r="D270" s="755"/>
      <c r="E270" s="751"/>
      <c r="F270" s="281" t="s">
        <v>1009</v>
      </c>
      <c r="G270" s="604">
        <v>7</v>
      </c>
      <c r="H270" s="604">
        <v>1</v>
      </c>
      <c r="I270" s="408" t="s">
        <v>903</v>
      </c>
    </row>
    <row r="271" spans="1:14" ht="51.75" customHeight="1" thickBot="1">
      <c r="A271" s="98" t="s">
        <v>120</v>
      </c>
      <c r="B271" s="99" t="s">
        <v>700</v>
      </c>
      <c r="C271" s="100"/>
      <c r="D271" s="165">
        <f>D272</f>
        <v>2</v>
      </c>
      <c r="E271" s="165">
        <f>E272</f>
        <v>0</v>
      </c>
      <c r="F271" s="738"/>
      <c r="G271" s="739"/>
      <c r="H271" s="739"/>
      <c r="I271" s="740"/>
    </row>
    <row r="272" spans="1:14" ht="19.5" customHeight="1">
      <c r="A272" s="675" t="s">
        <v>121</v>
      </c>
      <c r="B272" s="677" t="s">
        <v>701</v>
      </c>
      <c r="C272" s="701" t="s">
        <v>163</v>
      </c>
      <c r="D272" s="703">
        <v>2</v>
      </c>
      <c r="E272" s="705">
        <v>0</v>
      </c>
      <c r="F272" s="282" t="s">
        <v>344</v>
      </c>
      <c r="G272" s="512">
        <v>2</v>
      </c>
      <c r="H272" s="512">
        <v>0</v>
      </c>
      <c r="I272" s="667" t="s">
        <v>905</v>
      </c>
    </row>
    <row r="273" spans="1:13" ht="16.5" customHeight="1" thickBot="1">
      <c r="A273" s="691"/>
      <c r="B273" s="658"/>
      <c r="C273" s="702"/>
      <c r="D273" s="704"/>
      <c r="E273" s="706"/>
      <c r="F273" s="283" t="s">
        <v>702</v>
      </c>
      <c r="G273" s="604">
        <v>2</v>
      </c>
      <c r="H273" s="604">
        <v>0</v>
      </c>
      <c r="I273" s="664"/>
    </row>
    <row r="274" spans="1:13" ht="15" thickBot="1">
      <c r="A274" s="98" t="s">
        <v>319</v>
      </c>
      <c r="B274" s="99" t="s">
        <v>345</v>
      </c>
      <c r="C274" s="100"/>
      <c r="D274" s="165">
        <f>SUM(D275:D277)</f>
        <v>58.8</v>
      </c>
      <c r="E274" s="165">
        <f>SUM(E275:E277)</f>
        <v>51.4</v>
      </c>
      <c r="F274" s="738"/>
      <c r="G274" s="739"/>
      <c r="H274" s="739"/>
      <c r="I274" s="740"/>
    </row>
    <row r="275" spans="1:13" ht="24" customHeight="1">
      <c r="A275" s="375" t="s">
        <v>320</v>
      </c>
      <c r="B275" s="589" t="s">
        <v>703</v>
      </c>
      <c r="C275" s="590" t="s">
        <v>20</v>
      </c>
      <c r="D275" s="592">
        <v>3.8</v>
      </c>
      <c r="E275" s="594">
        <v>3.8</v>
      </c>
      <c r="F275" s="284" t="s">
        <v>346</v>
      </c>
      <c r="G275" s="602">
        <v>9</v>
      </c>
      <c r="H275" s="602">
        <v>4</v>
      </c>
      <c r="I275" s="583" t="s">
        <v>1015</v>
      </c>
    </row>
    <row r="276" spans="1:13" ht="28">
      <c r="A276" s="559" t="s">
        <v>706</v>
      </c>
      <c r="B276" s="530" t="s">
        <v>704</v>
      </c>
      <c r="C276" s="537" t="s">
        <v>163</v>
      </c>
      <c r="D276" s="534">
        <v>35</v>
      </c>
      <c r="E276" s="538">
        <v>47.6</v>
      </c>
      <c r="F276" s="282" t="s">
        <v>705</v>
      </c>
      <c r="G276" s="503">
        <v>4</v>
      </c>
      <c r="H276" s="503">
        <v>102</v>
      </c>
      <c r="I276" s="509" t="s">
        <v>906</v>
      </c>
    </row>
    <row r="277" spans="1:13" ht="28.5" thickBot="1">
      <c r="A277" s="559" t="s">
        <v>707</v>
      </c>
      <c r="B277" s="530" t="s">
        <v>708</v>
      </c>
      <c r="C277" s="537" t="s">
        <v>163</v>
      </c>
      <c r="D277" s="534">
        <v>20</v>
      </c>
      <c r="E277" s="538">
        <v>0</v>
      </c>
      <c r="F277" s="282" t="s">
        <v>709</v>
      </c>
      <c r="G277" s="503">
        <v>1</v>
      </c>
      <c r="H277" s="503">
        <v>0</v>
      </c>
      <c r="I277" s="509" t="s">
        <v>905</v>
      </c>
    </row>
    <row r="278" spans="1:13" ht="31.5" customHeight="1" thickBot="1">
      <c r="A278" s="104" t="s">
        <v>171</v>
      </c>
      <c r="B278" s="96" t="s">
        <v>710</v>
      </c>
      <c r="C278" s="97"/>
      <c r="D278" s="166">
        <f>D279+D284</f>
        <v>685.3</v>
      </c>
      <c r="E278" s="166">
        <f>E279+E284</f>
        <v>702.4</v>
      </c>
      <c r="F278" s="1035"/>
      <c r="G278" s="1036"/>
      <c r="H278" s="1036"/>
      <c r="I278" s="1037"/>
    </row>
    <row r="279" spans="1:13" ht="22.5" customHeight="1" thickBot="1">
      <c r="A279" s="98" t="s">
        <v>27</v>
      </c>
      <c r="B279" s="99" t="s">
        <v>711</v>
      </c>
      <c r="C279" s="100"/>
      <c r="D279" s="165">
        <f>SUM(D280:D283)</f>
        <v>47.8</v>
      </c>
      <c r="E279" s="165">
        <f>SUM(E280:E283)</f>
        <v>40.400000000000006</v>
      </c>
      <c r="F279" s="1056"/>
      <c r="G279" s="1057"/>
      <c r="H279" s="1057"/>
      <c r="I279" s="1058"/>
    </row>
    <row r="280" spans="1:13" ht="48.75" customHeight="1">
      <c r="A280" s="375" t="s">
        <v>29</v>
      </c>
      <c r="B280" s="589" t="s">
        <v>1000</v>
      </c>
      <c r="C280" s="273" t="s">
        <v>20</v>
      </c>
      <c r="D280" s="198">
        <v>11.3</v>
      </c>
      <c r="E280" s="236">
        <v>11.3</v>
      </c>
      <c r="F280" s="599" t="s">
        <v>712</v>
      </c>
      <c r="G280" s="602">
        <v>6</v>
      </c>
      <c r="H280" s="450">
        <v>6</v>
      </c>
      <c r="I280" s="407" t="s">
        <v>1001</v>
      </c>
    </row>
    <row r="281" spans="1:13" ht="28">
      <c r="A281" s="675" t="s">
        <v>31</v>
      </c>
      <c r="B281" s="677" t="s">
        <v>713</v>
      </c>
      <c r="C281" s="699" t="s">
        <v>20</v>
      </c>
      <c r="D281" s="670">
        <v>30.5</v>
      </c>
      <c r="E281" s="735">
        <v>23.1</v>
      </c>
      <c r="F281" s="600" t="s">
        <v>714</v>
      </c>
      <c r="G281" s="603">
        <v>26</v>
      </c>
      <c r="H281" s="603">
        <v>26</v>
      </c>
      <c r="I281" s="1049" t="s">
        <v>1003</v>
      </c>
      <c r="J281" s="476"/>
      <c r="K281" s="457"/>
      <c r="L281" s="457"/>
      <c r="M281" s="457"/>
    </row>
    <row r="282" spans="1:13" ht="32.25" customHeight="1">
      <c r="A282" s="676"/>
      <c r="B282" s="678"/>
      <c r="C282" s="700"/>
      <c r="D282" s="672"/>
      <c r="E282" s="733"/>
      <c r="F282" s="600" t="s">
        <v>461</v>
      </c>
      <c r="G282" s="270">
        <v>2</v>
      </c>
      <c r="H282" s="503">
        <v>0</v>
      </c>
      <c r="I282" s="1050"/>
    </row>
    <row r="283" spans="1:13" ht="32.25" customHeight="1" thickBot="1">
      <c r="A283" s="553" t="s">
        <v>187</v>
      </c>
      <c r="B283" s="529" t="s">
        <v>715</v>
      </c>
      <c r="C283" s="536" t="s">
        <v>20</v>
      </c>
      <c r="D283" s="544">
        <v>6</v>
      </c>
      <c r="E283" s="523">
        <v>6</v>
      </c>
      <c r="F283" s="518" t="s">
        <v>716</v>
      </c>
      <c r="G283" s="604">
        <v>1</v>
      </c>
      <c r="H283" s="604">
        <v>1</v>
      </c>
      <c r="I283" s="451" t="s">
        <v>1002</v>
      </c>
    </row>
    <row r="284" spans="1:13" ht="35.25" customHeight="1" thickBot="1">
      <c r="A284" s="98" t="s">
        <v>127</v>
      </c>
      <c r="B284" s="99" t="s">
        <v>717</v>
      </c>
      <c r="C284" s="100"/>
      <c r="D284" s="165">
        <f>SUM(D285:D290)</f>
        <v>637.5</v>
      </c>
      <c r="E284" s="165">
        <f>SUM(E285:E290)</f>
        <v>662</v>
      </c>
      <c r="F284" s="738"/>
      <c r="G284" s="739"/>
      <c r="H284" s="739"/>
      <c r="I284" s="740"/>
      <c r="J284" s="480"/>
      <c r="K284" s="474"/>
      <c r="L284" s="474"/>
      <c r="M284" s="471"/>
    </row>
    <row r="285" spans="1:13" ht="18" customHeight="1">
      <c r="A285" s="375" t="s">
        <v>129</v>
      </c>
      <c r="B285" s="539" t="s">
        <v>199</v>
      </c>
      <c r="C285" s="540" t="s">
        <v>18</v>
      </c>
      <c r="D285" s="198">
        <v>529.70000000000005</v>
      </c>
      <c r="E285" s="267">
        <v>529.70000000000005</v>
      </c>
      <c r="F285" s="599" t="s">
        <v>200</v>
      </c>
      <c r="G285" s="602">
        <v>130</v>
      </c>
      <c r="H285" s="602">
        <v>222</v>
      </c>
      <c r="I285" s="583" t="s">
        <v>720</v>
      </c>
    </row>
    <row r="286" spans="1:13" ht="18" customHeight="1">
      <c r="A286" s="675" t="s">
        <v>321</v>
      </c>
      <c r="B286" s="677" t="s">
        <v>201</v>
      </c>
      <c r="C286" s="699" t="s">
        <v>20</v>
      </c>
      <c r="D286" s="994">
        <f>5.5+87.3</f>
        <v>92.8</v>
      </c>
      <c r="E286" s="735">
        <f>10+87.3</f>
        <v>97.3</v>
      </c>
      <c r="F286" s="586" t="s">
        <v>721</v>
      </c>
      <c r="G286" s="603">
        <v>1</v>
      </c>
      <c r="H286" s="603">
        <v>0</v>
      </c>
      <c r="I286" s="667" t="s">
        <v>1069</v>
      </c>
    </row>
    <row r="287" spans="1:13" ht="21" customHeight="1">
      <c r="A287" s="827"/>
      <c r="B287" s="716"/>
      <c r="C287" s="721"/>
      <c r="D287" s="995"/>
      <c r="E287" s="752"/>
      <c r="F287" s="565" t="s">
        <v>1011</v>
      </c>
      <c r="G287" s="503">
        <v>0</v>
      </c>
      <c r="H287" s="503">
        <v>2</v>
      </c>
      <c r="I287" s="668"/>
    </row>
    <row r="288" spans="1:13" ht="32.25" customHeight="1">
      <c r="A288" s="676"/>
      <c r="B288" s="678"/>
      <c r="C288" s="700"/>
      <c r="D288" s="996"/>
      <c r="E288" s="733"/>
      <c r="F288" s="565" t="s">
        <v>1068</v>
      </c>
      <c r="G288" s="503">
        <v>1</v>
      </c>
      <c r="H288" s="503">
        <v>1</v>
      </c>
      <c r="I288" s="669"/>
    </row>
    <row r="289" spans="1:15" ht="89.25" customHeight="1">
      <c r="A289" s="552" t="s">
        <v>450</v>
      </c>
      <c r="B289" s="529" t="s">
        <v>718</v>
      </c>
      <c r="C289" s="532" t="s">
        <v>20</v>
      </c>
      <c r="D289" s="568">
        <v>5</v>
      </c>
      <c r="E289" s="245">
        <v>25</v>
      </c>
      <c r="F289" s="354" t="s">
        <v>198</v>
      </c>
      <c r="G289" s="366">
        <v>5</v>
      </c>
      <c r="H289" s="366">
        <v>8</v>
      </c>
      <c r="I289" s="508" t="s">
        <v>1124</v>
      </c>
      <c r="J289" s="476"/>
      <c r="K289" s="476"/>
      <c r="L289" s="476"/>
      <c r="M289" s="476"/>
      <c r="N289" s="476"/>
      <c r="O289" s="476"/>
    </row>
    <row r="290" spans="1:15" ht="34.5" customHeight="1" thickBot="1">
      <c r="A290" s="613" t="s">
        <v>487</v>
      </c>
      <c r="B290" s="598" t="s">
        <v>719</v>
      </c>
      <c r="C290" s="640" t="s">
        <v>20</v>
      </c>
      <c r="D290" s="238">
        <v>10</v>
      </c>
      <c r="E290" s="641">
        <v>10</v>
      </c>
      <c r="F290" s="601" t="s">
        <v>722</v>
      </c>
      <c r="G290" s="604">
        <v>1</v>
      </c>
      <c r="H290" s="604">
        <v>1</v>
      </c>
      <c r="I290" s="521" t="s">
        <v>348</v>
      </c>
    </row>
    <row r="291" spans="1:15" ht="39" customHeight="1" thickBot="1">
      <c r="A291" s="112">
        <v>7</v>
      </c>
      <c r="B291" s="616" t="s">
        <v>203</v>
      </c>
      <c r="C291" s="617"/>
      <c r="D291" s="618">
        <f>D292+D365+D479+D485</f>
        <v>13011.1</v>
      </c>
      <c r="E291" s="618">
        <f>E292+E365+E479+E485</f>
        <v>11690.8</v>
      </c>
      <c r="F291" s="1044"/>
      <c r="G291" s="1045"/>
      <c r="H291" s="1045"/>
      <c r="I291" s="1046"/>
    </row>
    <row r="292" spans="1:15" ht="49.5" customHeight="1" thickBot="1">
      <c r="A292" s="113" t="s">
        <v>12</v>
      </c>
      <c r="B292" s="108" t="s">
        <v>723</v>
      </c>
      <c r="C292" s="109"/>
      <c r="D292" s="167">
        <f>D293+D336+D360</f>
        <v>4357.5</v>
      </c>
      <c r="E292" s="167">
        <f>E293+E336+E360</f>
        <v>5637.9999999999991</v>
      </c>
      <c r="F292" s="1053"/>
      <c r="G292" s="1054"/>
      <c r="H292" s="1054"/>
      <c r="I292" s="1055"/>
      <c r="J292" s="476"/>
      <c r="K292" s="476"/>
      <c r="L292" s="476"/>
      <c r="M292" s="457"/>
      <c r="N292" s="471"/>
    </row>
    <row r="293" spans="1:15" ht="74.25" customHeight="1" thickBot="1">
      <c r="A293" s="114" t="s">
        <v>161</v>
      </c>
      <c r="B293" s="110" t="s">
        <v>724</v>
      </c>
      <c r="C293" s="111"/>
      <c r="D293" s="168">
        <f>SUM(D294:D335)</f>
        <v>3000.1</v>
      </c>
      <c r="E293" s="168">
        <f>SUM(E294:E335)</f>
        <v>3092.1</v>
      </c>
      <c r="F293" s="934"/>
      <c r="G293" s="935"/>
      <c r="H293" s="935"/>
      <c r="I293" s="936"/>
    </row>
    <row r="294" spans="1:15" ht="28">
      <c r="A294" s="589" t="s">
        <v>162</v>
      </c>
      <c r="B294" s="589" t="s">
        <v>725</v>
      </c>
      <c r="C294" s="367" t="s">
        <v>20</v>
      </c>
      <c r="D294" s="368">
        <v>295.3</v>
      </c>
      <c r="E294" s="368">
        <v>295.2</v>
      </c>
      <c r="F294" s="188" t="s">
        <v>726</v>
      </c>
      <c r="G294" s="602">
        <v>37.25</v>
      </c>
      <c r="H294" s="602">
        <v>37.25</v>
      </c>
      <c r="I294" s="448" t="s">
        <v>1097</v>
      </c>
    </row>
    <row r="295" spans="1:15" ht="26.25" customHeight="1">
      <c r="A295" s="722" t="s">
        <v>170</v>
      </c>
      <c r="B295" s="678" t="s">
        <v>727</v>
      </c>
      <c r="C295" s="992" t="s">
        <v>20</v>
      </c>
      <c r="D295" s="882">
        <f>27.5+55.4+1595+40.3+39+48.3+43.6+50.7+61.8</f>
        <v>1961.6</v>
      </c>
      <c r="E295" s="882">
        <f>1637.9+27+50.8+39.9+39+49+43.6+50.7+60.6</f>
        <v>1998.5</v>
      </c>
      <c r="F295" s="355" t="s">
        <v>205</v>
      </c>
      <c r="G295" s="503">
        <v>33.299999999999997</v>
      </c>
      <c r="H295" s="503">
        <v>33.299999999999997</v>
      </c>
      <c r="I295" s="668" t="s">
        <v>932</v>
      </c>
    </row>
    <row r="296" spans="1:15" ht="33" customHeight="1">
      <c r="A296" s="722"/>
      <c r="B296" s="716"/>
      <c r="C296" s="992"/>
      <c r="D296" s="882"/>
      <c r="E296" s="882"/>
      <c r="F296" s="287" t="s">
        <v>204</v>
      </c>
      <c r="G296" s="603">
        <v>296.3</v>
      </c>
      <c r="H296" s="603">
        <f>188.6</f>
        <v>188.6</v>
      </c>
      <c r="I296" s="668"/>
    </row>
    <row r="297" spans="1:15" ht="24" customHeight="1">
      <c r="A297" s="722"/>
      <c r="B297" s="716"/>
      <c r="C297" s="992"/>
      <c r="D297" s="882"/>
      <c r="E297" s="882"/>
      <c r="F297" s="287" t="s">
        <v>728</v>
      </c>
      <c r="G297" s="603">
        <v>2147</v>
      </c>
      <c r="H297" s="603">
        <v>2195</v>
      </c>
      <c r="I297" s="668"/>
    </row>
    <row r="298" spans="1:15" ht="24" customHeight="1">
      <c r="A298" s="698"/>
      <c r="B298" s="678"/>
      <c r="C298" s="993"/>
      <c r="D298" s="838"/>
      <c r="E298" s="838"/>
      <c r="F298" s="287" t="s">
        <v>206</v>
      </c>
      <c r="G298" s="603">
        <v>96</v>
      </c>
      <c r="H298" s="603">
        <v>97</v>
      </c>
      <c r="I298" s="669"/>
    </row>
    <row r="299" spans="1:15">
      <c r="A299" s="675" t="s">
        <v>23</v>
      </c>
      <c r="B299" s="677" t="s">
        <v>207</v>
      </c>
      <c r="C299" s="699" t="s">
        <v>20</v>
      </c>
      <c r="D299" s="670">
        <f>30+30+451+40+30+40+30+30+41</f>
        <v>722</v>
      </c>
      <c r="E299" s="670">
        <f>26.8+256.5+9.9+60+142.3+50+19.9+7+3+7.8+7+14.7+3+19+5+6+2.9+7+10+21.6+10+7.6+29.2+0.8+3.7+21.7+4.5+17.8+6.1+10.6+7</f>
        <v>798.40000000000009</v>
      </c>
      <c r="F299" s="625" t="s">
        <v>463</v>
      </c>
      <c r="G299" s="603">
        <v>1</v>
      </c>
      <c r="H299" s="603">
        <v>1</v>
      </c>
      <c r="I299" s="667" t="s">
        <v>351</v>
      </c>
    </row>
    <row r="300" spans="1:15" ht="28">
      <c r="A300" s="827"/>
      <c r="B300" s="716"/>
      <c r="C300" s="721"/>
      <c r="D300" s="671"/>
      <c r="E300" s="671"/>
      <c r="F300" s="288" t="s">
        <v>729</v>
      </c>
      <c r="G300" s="511">
        <v>1</v>
      </c>
      <c r="H300" s="511">
        <v>1</v>
      </c>
      <c r="I300" s="668"/>
    </row>
    <row r="301" spans="1:15">
      <c r="A301" s="827"/>
      <c r="B301" s="716"/>
      <c r="C301" s="721"/>
      <c r="D301" s="671"/>
      <c r="E301" s="671"/>
      <c r="F301" s="288" t="s">
        <v>730</v>
      </c>
      <c r="G301" s="511">
        <v>200</v>
      </c>
      <c r="H301" s="511">
        <v>200</v>
      </c>
      <c r="I301" s="668"/>
    </row>
    <row r="302" spans="1:15">
      <c r="A302" s="827"/>
      <c r="B302" s="716"/>
      <c r="C302" s="721"/>
      <c r="D302" s="671"/>
      <c r="E302" s="671"/>
      <c r="F302" s="289" t="s">
        <v>462</v>
      </c>
      <c r="G302" s="511">
        <v>5</v>
      </c>
      <c r="H302" s="511">
        <v>5</v>
      </c>
      <c r="I302" s="668"/>
    </row>
    <row r="303" spans="1:15" ht="28">
      <c r="A303" s="827"/>
      <c r="B303" s="716"/>
      <c r="C303" s="721"/>
      <c r="D303" s="671"/>
      <c r="E303" s="671"/>
      <c r="F303" s="289" t="s">
        <v>731</v>
      </c>
      <c r="G303" s="511">
        <v>1</v>
      </c>
      <c r="H303" s="511">
        <v>1</v>
      </c>
      <c r="I303" s="667" t="s">
        <v>352</v>
      </c>
    </row>
    <row r="304" spans="1:15">
      <c r="A304" s="827"/>
      <c r="B304" s="716"/>
      <c r="C304" s="721"/>
      <c r="D304" s="671"/>
      <c r="E304" s="671"/>
      <c r="F304" s="290" t="s">
        <v>462</v>
      </c>
      <c r="G304" s="511">
        <v>5</v>
      </c>
      <c r="H304" s="511">
        <v>5</v>
      </c>
      <c r="I304" s="668"/>
    </row>
    <row r="305" spans="1:9">
      <c r="A305" s="827"/>
      <c r="B305" s="716"/>
      <c r="C305" s="721"/>
      <c r="D305" s="671"/>
      <c r="E305" s="671"/>
      <c r="F305" s="290" t="s">
        <v>464</v>
      </c>
      <c r="G305" s="511">
        <v>1.2</v>
      </c>
      <c r="H305" s="511">
        <v>1.2</v>
      </c>
      <c r="I305" s="669"/>
    </row>
    <row r="306" spans="1:9">
      <c r="A306" s="827"/>
      <c r="B306" s="716"/>
      <c r="C306" s="721"/>
      <c r="D306" s="671"/>
      <c r="E306" s="671"/>
      <c r="F306" s="290" t="s">
        <v>732</v>
      </c>
      <c r="G306" s="511">
        <v>1</v>
      </c>
      <c r="H306" s="511">
        <v>1</v>
      </c>
      <c r="I306" s="667" t="s">
        <v>1126</v>
      </c>
    </row>
    <row r="307" spans="1:9" ht="28">
      <c r="A307" s="827"/>
      <c r="B307" s="716"/>
      <c r="C307" s="721"/>
      <c r="D307" s="671"/>
      <c r="E307" s="671"/>
      <c r="F307" s="291" t="s">
        <v>350</v>
      </c>
      <c r="G307" s="511">
        <v>4</v>
      </c>
      <c r="H307" s="511">
        <v>6</v>
      </c>
      <c r="I307" s="668"/>
    </row>
    <row r="308" spans="1:9" ht="28">
      <c r="A308" s="827"/>
      <c r="B308" s="716"/>
      <c r="C308" s="721"/>
      <c r="D308" s="671"/>
      <c r="E308" s="671"/>
      <c r="F308" s="290" t="s">
        <v>733</v>
      </c>
      <c r="G308" s="511">
        <v>10</v>
      </c>
      <c r="H308" s="511">
        <v>10</v>
      </c>
      <c r="I308" s="668"/>
    </row>
    <row r="309" spans="1:9" ht="28">
      <c r="A309" s="827"/>
      <c r="B309" s="716"/>
      <c r="C309" s="721"/>
      <c r="D309" s="671"/>
      <c r="E309" s="671"/>
      <c r="F309" s="289" t="s">
        <v>465</v>
      </c>
      <c r="G309" s="511">
        <v>1</v>
      </c>
      <c r="H309" s="511">
        <v>1</v>
      </c>
      <c r="I309" s="668"/>
    </row>
    <row r="310" spans="1:9" ht="28">
      <c r="A310" s="827"/>
      <c r="B310" s="716"/>
      <c r="C310" s="721"/>
      <c r="D310" s="671"/>
      <c r="E310" s="671"/>
      <c r="F310" s="288" t="s">
        <v>734</v>
      </c>
      <c r="G310" s="511">
        <v>1</v>
      </c>
      <c r="H310" s="511">
        <v>1</v>
      </c>
      <c r="I310" s="668"/>
    </row>
    <row r="311" spans="1:9" ht="18" customHeight="1">
      <c r="A311" s="827"/>
      <c r="B311" s="716"/>
      <c r="C311" s="721"/>
      <c r="D311" s="671"/>
      <c r="E311" s="671"/>
      <c r="F311" s="288" t="s">
        <v>735</v>
      </c>
      <c r="G311" s="511">
        <v>1</v>
      </c>
      <c r="H311" s="511">
        <v>1</v>
      </c>
      <c r="I311" s="669"/>
    </row>
    <row r="312" spans="1:9" ht="15.75" customHeight="1">
      <c r="A312" s="827"/>
      <c r="B312" s="716"/>
      <c r="C312" s="721"/>
      <c r="D312" s="671"/>
      <c r="E312" s="671"/>
      <c r="F312" s="320" t="s">
        <v>736</v>
      </c>
      <c r="G312" s="511">
        <v>60</v>
      </c>
      <c r="H312" s="511">
        <v>60</v>
      </c>
      <c r="I312" s="667" t="s">
        <v>1127</v>
      </c>
    </row>
    <row r="313" spans="1:9" ht="17.25" customHeight="1">
      <c r="A313" s="827"/>
      <c r="B313" s="716"/>
      <c r="C313" s="721"/>
      <c r="D313" s="671"/>
      <c r="E313" s="671"/>
      <c r="F313" s="320" t="s">
        <v>463</v>
      </c>
      <c r="G313" s="511">
        <v>1</v>
      </c>
      <c r="H313" s="511">
        <v>1</v>
      </c>
      <c r="I313" s="668"/>
    </row>
    <row r="314" spans="1:9" ht="29.25" customHeight="1">
      <c r="A314" s="827"/>
      <c r="B314" s="716"/>
      <c r="C314" s="721"/>
      <c r="D314" s="671"/>
      <c r="E314" s="671"/>
      <c r="F314" s="320" t="s">
        <v>729</v>
      </c>
      <c r="G314" s="511">
        <v>1</v>
      </c>
      <c r="H314" s="511">
        <v>1</v>
      </c>
      <c r="I314" s="668"/>
    </row>
    <row r="315" spans="1:9" ht="19.5" customHeight="1">
      <c r="A315" s="827"/>
      <c r="B315" s="716"/>
      <c r="C315" s="721"/>
      <c r="D315" s="671"/>
      <c r="E315" s="671"/>
      <c r="F315" s="320" t="s">
        <v>737</v>
      </c>
      <c r="G315" s="511">
        <v>1</v>
      </c>
      <c r="H315" s="511">
        <v>1</v>
      </c>
      <c r="I315" s="668"/>
    </row>
    <row r="316" spans="1:9" ht="28">
      <c r="A316" s="827"/>
      <c r="B316" s="716"/>
      <c r="C316" s="721"/>
      <c r="D316" s="671"/>
      <c r="E316" s="671"/>
      <c r="F316" s="320" t="s">
        <v>738</v>
      </c>
      <c r="G316" s="511">
        <v>7</v>
      </c>
      <c r="H316" s="511">
        <v>7</v>
      </c>
      <c r="I316" s="668"/>
    </row>
    <row r="317" spans="1:9" ht="18.75" customHeight="1">
      <c r="A317" s="827"/>
      <c r="B317" s="716"/>
      <c r="C317" s="721"/>
      <c r="D317" s="671"/>
      <c r="E317" s="671"/>
      <c r="F317" s="320" t="s">
        <v>466</v>
      </c>
      <c r="G317" s="511">
        <v>24</v>
      </c>
      <c r="H317" s="511">
        <v>24</v>
      </c>
      <c r="I317" s="668"/>
    </row>
    <row r="318" spans="1:9" ht="19.5" customHeight="1">
      <c r="A318" s="827"/>
      <c r="B318" s="716"/>
      <c r="C318" s="721"/>
      <c r="D318" s="671"/>
      <c r="E318" s="671"/>
      <c r="F318" s="320" t="s">
        <v>739</v>
      </c>
      <c r="G318" s="603">
        <v>15</v>
      </c>
      <c r="H318" s="603">
        <v>15</v>
      </c>
      <c r="I318" s="668"/>
    </row>
    <row r="319" spans="1:9" ht="18.75" customHeight="1">
      <c r="A319" s="827"/>
      <c r="B319" s="716"/>
      <c r="C319" s="721"/>
      <c r="D319" s="671"/>
      <c r="E319" s="671"/>
      <c r="F319" s="320" t="s">
        <v>1111</v>
      </c>
      <c r="G319" s="603">
        <v>0</v>
      </c>
      <c r="H319" s="603">
        <v>1</v>
      </c>
      <c r="I319" s="669"/>
    </row>
    <row r="320" spans="1:9" ht="18.75" customHeight="1">
      <c r="A320" s="827"/>
      <c r="B320" s="716"/>
      <c r="C320" s="721"/>
      <c r="D320" s="624"/>
      <c r="E320" s="624"/>
      <c r="F320" s="289" t="s">
        <v>462</v>
      </c>
      <c r="G320" s="511">
        <v>23</v>
      </c>
      <c r="H320" s="511">
        <v>9</v>
      </c>
      <c r="I320" s="667" t="s">
        <v>353</v>
      </c>
    </row>
    <row r="321" spans="1:13" ht="18.75" customHeight="1">
      <c r="A321" s="622"/>
      <c r="B321" s="620"/>
      <c r="C321" s="234"/>
      <c r="D321" s="352"/>
      <c r="E321" s="352"/>
      <c r="F321" s="292" t="s">
        <v>740</v>
      </c>
      <c r="G321" s="603">
        <v>1</v>
      </c>
      <c r="H321" s="603">
        <v>1</v>
      </c>
      <c r="I321" s="669"/>
    </row>
    <row r="322" spans="1:13" ht="19.5" customHeight="1">
      <c r="A322" s="621"/>
      <c r="B322" s="619"/>
      <c r="C322" s="623"/>
      <c r="D322" s="315"/>
      <c r="E322" s="315"/>
      <c r="F322" s="296" t="s">
        <v>741</v>
      </c>
      <c r="G322" s="511">
        <v>180</v>
      </c>
      <c r="H322" s="511">
        <v>180</v>
      </c>
      <c r="I322" s="667" t="s">
        <v>933</v>
      </c>
    </row>
    <row r="323" spans="1:13">
      <c r="A323" s="411"/>
      <c r="B323" s="337"/>
      <c r="C323" s="265"/>
      <c r="D323" s="624"/>
      <c r="E323" s="624"/>
      <c r="F323" s="296" t="s">
        <v>463</v>
      </c>
      <c r="G323" s="511">
        <v>1</v>
      </c>
      <c r="H323" s="511">
        <v>1</v>
      </c>
      <c r="I323" s="668"/>
    </row>
    <row r="324" spans="1:13" ht="45" customHeight="1">
      <c r="A324" s="411"/>
      <c r="B324" s="337"/>
      <c r="C324" s="265"/>
      <c r="D324" s="624"/>
      <c r="E324" s="624"/>
      <c r="F324" s="296" t="s">
        <v>742</v>
      </c>
      <c r="G324" s="511">
        <v>2</v>
      </c>
      <c r="H324" s="511">
        <v>2</v>
      </c>
      <c r="I324" s="668"/>
    </row>
    <row r="325" spans="1:13" ht="29.25" customHeight="1">
      <c r="A325" s="411"/>
      <c r="B325" s="337"/>
      <c r="C325" s="265"/>
      <c r="D325" s="624"/>
      <c r="E325" s="624"/>
      <c r="F325" s="296" t="s">
        <v>743</v>
      </c>
      <c r="G325" s="603">
        <v>250</v>
      </c>
      <c r="H325" s="603">
        <v>165</v>
      </c>
      <c r="I325" s="669"/>
    </row>
    <row r="326" spans="1:13" ht="28.5" customHeight="1">
      <c r="A326" s="411"/>
      <c r="B326" s="337"/>
      <c r="C326" s="265"/>
      <c r="D326" s="624"/>
      <c r="E326" s="624"/>
      <c r="F326" s="296" t="s">
        <v>744</v>
      </c>
      <c r="G326" s="603">
        <v>2</v>
      </c>
      <c r="H326" s="603">
        <v>2</v>
      </c>
      <c r="I326" s="667" t="s">
        <v>934</v>
      </c>
    </row>
    <row r="327" spans="1:13" ht="28.5" customHeight="1">
      <c r="A327" s="411"/>
      <c r="B327" s="337"/>
      <c r="C327" s="265"/>
      <c r="D327" s="624"/>
      <c r="E327" s="624"/>
      <c r="F327" s="419" t="s">
        <v>935</v>
      </c>
      <c r="G327" s="512">
        <v>0</v>
      </c>
      <c r="H327" s="512">
        <v>1</v>
      </c>
      <c r="I327" s="669"/>
    </row>
    <row r="328" spans="1:13" ht="28.5" customHeight="1">
      <c r="A328" s="411"/>
      <c r="B328" s="337"/>
      <c r="C328" s="265"/>
      <c r="D328" s="624"/>
      <c r="E328" s="624"/>
      <c r="F328" s="320" t="s">
        <v>745</v>
      </c>
      <c r="G328" s="511">
        <v>1</v>
      </c>
      <c r="H328" s="511">
        <v>1</v>
      </c>
      <c r="I328" s="667" t="s">
        <v>936</v>
      </c>
    </row>
    <row r="329" spans="1:13">
      <c r="A329" s="411"/>
      <c r="B329" s="337"/>
      <c r="C329" s="265"/>
      <c r="D329" s="624"/>
      <c r="E329" s="624"/>
      <c r="F329" s="320" t="s">
        <v>746</v>
      </c>
      <c r="G329" s="511">
        <v>27</v>
      </c>
      <c r="H329" s="511">
        <v>27</v>
      </c>
      <c r="I329" s="668"/>
    </row>
    <row r="330" spans="1:13" ht="29.25" customHeight="1">
      <c r="A330" s="411"/>
      <c r="B330" s="337"/>
      <c r="C330" s="265"/>
      <c r="D330" s="624"/>
      <c r="E330" s="624"/>
      <c r="F330" s="320" t="s">
        <v>1006</v>
      </c>
      <c r="G330" s="511">
        <v>0</v>
      </c>
      <c r="H330" s="511">
        <v>7</v>
      </c>
      <c r="I330" s="669"/>
    </row>
    <row r="331" spans="1:13" ht="31.5" customHeight="1">
      <c r="A331" s="411"/>
      <c r="B331" s="337"/>
      <c r="C331" s="265"/>
      <c r="D331" s="624"/>
      <c r="E331" s="624"/>
      <c r="F331" s="320" t="s">
        <v>747</v>
      </c>
      <c r="G331" s="603">
        <v>1</v>
      </c>
      <c r="H331" s="603">
        <v>1</v>
      </c>
      <c r="I331" s="667" t="s">
        <v>1128</v>
      </c>
    </row>
    <row r="332" spans="1:13">
      <c r="A332" s="411"/>
      <c r="B332" s="337"/>
      <c r="C332" s="265"/>
      <c r="D332" s="624"/>
      <c r="E332" s="624"/>
      <c r="F332" s="294" t="s">
        <v>748</v>
      </c>
      <c r="G332" s="511">
        <v>420</v>
      </c>
      <c r="H332" s="511">
        <v>420</v>
      </c>
      <c r="I332" s="668"/>
    </row>
    <row r="333" spans="1:13" ht="28">
      <c r="A333" s="411"/>
      <c r="B333" s="337"/>
      <c r="C333" s="265"/>
      <c r="D333" s="624"/>
      <c r="E333" s="624"/>
      <c r="F333" s="295" t="s">
        <v>1005</v>
      </c>
      <c r="G333" s="511">
        <v>1</v>
      </c>
      <c r="H333" s="511">
        <v>1</v>
      </c>
      <c r="I333" s="668"/>
      <c r="J333" s="471"/>
      <c r="K333" s="471"/>
      <c r="L333" s="471"/>
      <c r="M333" s="471"/>
    </row>
    <row r="334" spans="1:13" ht="34.5" customHeight="1">
      <c r="A334" s="622"/>
      <c r="B334" s="620"/>
      <c r="C334" s="234"/>
      <c r="D334" s="352"/>
      <c r="E334" s="352"/>
      <c r="F334" s="293" t="s">
        <v>1004</v>
      </c>
      <c r="G334" s="603">
        <v>0</v>
      </c>
      <c r="H334" s="603">
        <v>1</v>
      </c>
      <c r="I334" s="669"/>
    </row>
    <row r="335" spans="1:13" ht="28.5" thickBot="1">
      <c r="A335" s="642"/>
      <c r="B335" s="643"/>
      <c r="C335" s="644" t="s">
        <v>22</v>
      </c>
      <c r="D335" s="524">
        <v>21.2</v>
      </c>
      <c r="E335" s="611">
        <v>0</v>
      </c>
      <c r="F335" s="645" t="s">
        <v>467</v>
      </c>
      <c r="G335" s="646">
        <v>2</v>
      </c>
      <c r="H335" s="646">
        <v>0</v>
      </c>
      <c r="I335" s="515"/>
    </row>
    <row r="336" spans="1:13" ht="46.5" customHeight="1" thickBot="1">
      <c r="A336" s="114" t="s">
        <v>112</v>
      </c>
      <c r="B336" s="110" t="s">
        <v>749</v>
      </c>
      <c r="C336" s="111"/>
      <c r="D336" s="168">
        <f>SUM(D337:D355)</f>
        <v>1256.8</v>
      </c>
      <c r="E336" s="168">
        <f>SUM(E337:E359)</f>
        <v>2494.1999999999998</v>
      </c>
      <c r="F336" s="717"/>
      <c r="G336" s="718"/>
      <c r="H336" s="718"/>
      <c r="I336" s="719"/>
    </row>
    <row r="337" spans="1:13" ht="211.5" customHeight="1">
      <c r="A337" s="375" t="s">
        <v>208</v>
      </c>
      <c r="B337" s="589" t="s">
        <v>209</v>
      </c>
      <c r="C337" s="590" t="s">
        <v>210</v>
      </c>
      <c r="D337" s="592">
        <v>7.5</v>
      </c>
      <c r="E337" s="594">
        <f>46.2+5.6+6+4.8+0.8</f>
        <v>63.4</v>
      </c>
      <c r="F337" s="188" t="s">
        <v>211</v>
      </c>
      <c r="G337" s="602">
        <v>79.900000000000006</v>
      </c>
      <c r="H337" s="452">
        <v>74.91</v>
      </c>
      <c r="I337" s="425" t="s">
        <v>963</v>
      </c>
    </row>
    <row r="338" spans="1:13" ht="56">
      <c r="A338" s="562" t="s">
        <v>212</v>
      </c>
      <c r="B338" s="574" t="s">
        <v>213</v>
      </c>
      <c r="C338" s="606" t="s">
        <v>210</v>
      </c>
      <c r="D338" s="593">
        <v>195.1</v>
      </c>
      <c r="E338" s="595">
        <f>79.9+4.8+174.9+0.8</f>
        <v>260.40000000000003</v>
      </c>
      <c r="F338" s="600" t="s">
        <v>214</v>
      </c>
      <c r="G338" s="603">
        <v>60.3</v>
      </c>
      <c r="H338" s="453">
        <v>61.09</v>
      </c>
      <c r="I338" s="426" t="s">
        <v>964</v>
      </c>
    </row>
    <row r="339" spans="1:13" ht="225" customHeight="1">
      <c r="A339" s="576" t="s">
        <v>117</v>
      </c>
      <c r="B339" s="574" t="s">
        <v>215</v>
      </c>
      <c r="C339" s="606" t="s">
        <v>210</v>
      </c>
      <c r="D339" s="593">
        <v>30</v>
      </c>
      <c r="E339" s="595">
        <f>314.1+9.6+194.2+5.9+4+9.8+4+4.8+16.9+52.2+3</f>
        <v>618.5</v>
      </c>
      <c r="F339" s="287" t="s">
        <v>216</v>
      </c>
      <c r="G339" s="603">
        <v>53.7</v>
      </c>
      <c r="H339" s="454">
        <v>53.7</v>
      </c>
      <c r="I339" s="514" t="s">
        <v>961</v>
      </c>
    </row>
    <row r="340" spans="1:13" ht="96" customHeight="1">
      <c r="A340" s="576" t="s">
        <v>119</v>
      </c>
      <c r="B340" s="574" t="s">
        <v>217</v>
      </c>
      <c r="C340" s="606" t="s">
        <v>210</v>
      </c>
      <c r="D340" s="593">
        <v>195.3</v>
      </c>
      <c r="E340" s="538">
        <f>74+2.3+14.4+2.4</f>
        <v>93.100000000000009</v>
      </c>
      <c r="F340" s="287" t="s">
        <v>218</v>
      </c>
      <c r="G340" s="603">
        <v>94.1</v>
      </c>
      <c r="H340" s="453">
        <v>95.37</v>
      </c>
      <c r="I340" s="426" t="s">
        <v>962</v>
      </c>
    </row>
    <row r="341" spans="1:13" ht="65.25" customHeight="1">
      <c r="A341" s="527" t="s">
        <v>219</v>
      </c>
      <c r="B341" s="530" t="s">
        <v>220</v>
      </c>
      <c r="C341" s="537" t="s">
        <v>210</v>
      </c>
      <c r="D341" s="534">
        <v>5</v>
      </c>
      <c r="E341" s="538">
        <f>61.2+9.6+194+34.9+1.6</f>
        <v>301.3</v>
      </c>
      <c r="F341" s="355" t="s">
        <v>221</v>
      </c>
      <c r="G341" s="503">
        <v>34.9</v>
      </c>
      <c r="H341" s="455">
        <v>35.26</v>
      </c>
      <c r="I341" s="608" t="s">
        <v>965</v>
      </c>
    </row>
    <row r="342" spans="1:13" ht="84">
      <c r="A342" s="562" t="s">
        <v>222</v>
      </c>
      <c r="B342" s="574" t="s">
        <v>223</v>
      </c>
      <c r="C342" s="606" t="s">
        <v>210</v>
      </c>
      <c r="D342" s="593">
        <v>5</v>
      </c>
      <c r="E342" s="538">
        <f>21+54.5+2.6+5.5+10.1+9.6+1.6</f>
        <v>104.89999999999998</v>
      </c>
      <c r="F342" s="287" t="s">
        <v>224</v>
      </c>
      <c r="G342" s="603">
        <v>118.4</v>
      </c>
      <c r="H342" s="453">
        <v>113.83</v>
      </c>
      <c r="I342" s="514" t="s">
        <v>966</v>
      </c>
    </row>
    <row r="343" spans="1:13" ht="69.75" customHeight="1">
      <c r="A343" s="562" t="s">
        <v>225</v>
      </c>
      <c r="B343" s="574" t="s">
        <v>226</v>
      </c>
      <c r="C343" s="606" t="s">
        <v>210</v>
      </c>
      <c r="D343" s="593">
        <v>170.6</v>
      </c>
      <c r="E343" s="538">
        <f>62.6+3.8+14.4+2.4</f>
        <v>83.200000000000017</v>
      </c>
      <c r="F343" s="287" t="s">
        <v>227</v>
      </c>
      <c r="G343" s="603">
        <v>153.9</v>
      </c>
      <c r="H343" s="453">
        <v>142.07</v>
      </c>
      <c r="I343" s="514" t="s">
        <v>960</v>
      </c>
    </row>
    <row r="344" spans="1:13" ht="89.25" customHeight="1">
      <c r="A344" s="576" t="s">
        <v>228</v>
      </c>
      <c r="B344" s="574" t="s">
        <v>229</v>
      </c>
      <c r="C344" s="606" t="s">
        <v>210</v>
      </c>
      <c r="D344" s="593">
        <v>84.8</v>
      </c>
      <c r="E344" s="538">
        <f>44.2+3.2+1.5+9.6+1.6</f>
        <v>60.100000000000009</v>
      </c>
      <c r="F344" s="287" t="s">
        <v>230</v>
      </c>
      <c r="G344" s="603">
        <v>63.5</v>
      </c>
      <c r="H344" s="603">
        <v>53.56</v>
      </c>
      <c r="I344" s="514" t="s">
        <v>967</v>
      </c>
    </row>
    <row r="345" spans="1:13" ht="78.75" customHeight="1">
      <c r="A345" s="562" t="s">
        <v>231</v>
      </c>
      <c r="B345" s="574" t="s">
        <v>232</v>
      </c>
      <c r="C345" s="606" t="s">
        <v>210</v>
      </c>
      <c r="D345" s="593">
        <v>27.3</v>
      </c>
      <c r="E345" s="538">
        <f>27+63.3+1.9+3.1</f>
        <v>95.3</v>
      </c>
      <c r="F345" s="287" t="s">
        <v>233</v>
      </c>
      <c r="G345" s="603">
        <v>133.9</v>
      </c>
      <c r="H345" s="453">
        <v>135.25</v>
      </c>
      <c r="I345" s="514" t="s">
        <v>959</v>
      </c>
      <c r="J345" s="476"/>
      <c r="K345" s="476"/>
      <c r="L345" s="476"/>
      <c r="M345" s="457"/>
    </row>
    <row r="346" spans="1:13" ht="48" customHeight="1">
      <c r="A346" s="115" t="s">
        <v>234</v>
      </c>
      <c r="B346" s="574" t="s">
        <v>750</v>
      </c>
      <c r="C346" s="606" t="s">
        <v>20</v>
      </c>
      <c r="D346" s="593">
        <v>60</v>
      </c>
      <c r="E346" s="595">
        <v>60</v>
      </c>
      <c r="F346" s="287" t="s">
        <v>751</v>
      </c>
      <c r="G346" s="603">
        <v>6</v>
      </c>
      <c r="H346" s="603">
        <v>6</v>
      </c>
      <c r="I346" s="514" t="s">
        <v>920</v>
      </c>
    </row>
    <row r="347" spans="1:13" ht="48.75" customHeight="1">
      <c r="A347" s="562" t="s">
        <v>235</v>
      </c>
      <c r="B347" s="574" t="s">
        <v>354</v>
      </c>
      <c r="C347" s="606" t="s">
        <v>20</v>
      </c>
      <c r="D347" s="593">
        <v>40</v>
      </c>
      <c r="E347" s="593">
        <v>60.9</v>
      </c>
      <c r="F347" s="287" t="s">
        <v>1075</v>
      </c>
      <c r="G347" s="297">
        <v>32</v>
      </c>
      <c r="H347" s="297">
        <f>1+15+4+649</f>
        <v>669</v>
      </c>
      <c r="I347" s="426" t="s">
        <v>1076</v>
      </c>
    </row>
    <row r="348" spans="1:13" ht="37.5" customHeight="1">
      <c r="A348" s="675" t="s">
        <v>236</v>
      </c>
      <c r="B348" s="677" t="s">
        <v>752</v>
      </c>
      <c r="C348" s="699" t="s">
        <v>20</v>
      </c>
      <c r="D348" s="670">
        <v>30</v>
      </c>
      <c r="E348" s="906">
        <v>0</v>
      </c>
      <c r="F348" s="187" t="s">
        <v>468</v>
      </c>
      <c r="G348" s="297">
        <v>0</v>
      </c>
      <c r="H348" s="297">
        <v>0</v>
      </c>
      <c r="I348" s="667" t="s">
        <v>1130</v>
      </c>
      <c r="J348" s="476"/>
      <c r="K348" s="476"/>
      <c r="L348" s="476"/>
      <c r="M348" s="457"/>
    </row>
    <row r="349" spans="1:13" ht="35.25" customHeight="1">
      <c r="A349" s="676"/>
      <c r="B349" s="678"/>
      <c r="C349" s="700"/>
      <c r="D349" s="672"/>
      <c r="E349" s="907"/>
      <c r="F349" s="300" t="s">
        <v>469</v>
      </c>
      <c r="G349" s="297">
        <v>0</v>
      </c>
      <c r="H349" s="297">
        <v>0</v>
      </c>
      <c r="I349" s="669"/>
      <c r="J349" s="476"/>
      <c r="K349" s="476"/>
      <c r="L349" s="476"/>
      <c r="M349" s="457"/>
    </row>
    <row r="350" spans="1:13" ht="25.5" customHeight="1">
      <c r="A350" s="724" t="s">
        <v>355</v>
      </c>
      <c r="B350" s="761" t="s">
        <v>753</v>
      </c>
      <c r="C350" s="606" t="s">
        <v>20</v>
      </c>
      <c r="D350" s="593">
        <v>20</v>
      </c>
      <c r="E350" s="456">
        <v>0</v>
      </c>
      <c r="F350" s="187" t="s">
        <v>754</v>
      </c>
      <c r="G350" s="603">
        <v>2</v>
      </c>
      <c r="H350" s="603">
        <v>1</v>
      </c>
      <c r="I350" s="753" t="s">
        <v>1083</v>
      </c>
      <c r="J350" s="476"/>
      <c r="K350" s="476"/>
      <c r="L350" s="476"/>
      <c r="M350" s="457"/>
    </row>
    <row r="351" spans="1:13" ht="25.5" customHeight="1">
      <c r="A351" s="724"/>
      <c r="B351" s="761"/>
      <c r="C351" s="606" t="s">
        <v>210</v>
      </c>
      <c r="D351" s="593">
        <v>270</v>
      </c>
      <c r="E351" s="593">
        <v>308.10000000000002</v>
      </c>
      <c r="F351" s="301" t="s">
        <v>755</v>
      </c>
      <c r="G351" s="603">
        <v>100</v>
      </c>
      <c r="H351" s="603">
        <v>100</v>
      </c>
      <c r="I351" s="753"/>
      <c r="J351" s="476"/>
      <c r="K351" s="476"/>
      <c r="L351" s="476"/>
      <c r="M351" s="457"/>
    </row>
    <row r="352" spans="1:13" ht="75" customHeight="1">
      <c r="A352" s="562" t="s">
        <v>356</v>
      </c>
      <c r="B352" s="574" t="s">
        <v>756</v>
      </c>
      <c r="C352" s="606" t="s">
        <v>20</v>
      </c>
      <c r="D352" s="593">
        <v>16.2</v>
      </c>
      <c r="E352" s="593">
        <v>16.100000000000001</v>
      </c>
      <c r="F352" s="600" t="s">
        <v>757</v>
      </c>
      <c r="G352" s="603">
        <v>100</v>
      </c>
      <c r="H352" s="603">
        <v>100</v>
      </c>
      <c r="I352" s="514" t="s">
        <v>1007</v>
      </c>
      <c r="J352" s="500"/>
      <c r="K352" s="479"/>
      <c r="L352" s="479"/>
      <c r="M352" s="479"/>
    </row>
    <row r="353" spans="1:13" ht="42">
      <c r="A353" s="559" t="s">
        <v>357</v>
      </c>
      <c r="B353" s="530" t="s">
        <v>917</v>
      </c>
      <c r="C353" s="537" t="s">
        <v>20</v>
      </c>
      <c r="D353" s="534">
        <v>6.5</v>
      </c>
      <c r="E353" s="569">
        <v>0</v>
      </c>
      <c r="F353" s="517" t="s">
        <v>758</v>
      </c>
      <c r="G353" s="512">
        <v>1</v>
      </c>
      <c r="H353" s="512">
        <v>0</v>
      </c>
      <c r="I353" s="509" t="s">
        <v>1077</v>
      </c>
    </row>
    <row r="354" spans="1:13" ht="32.25" customHeight="1">
      <c r="A354" s="675" t="s">
        <v>470</v>
      </c>
      <c r="B354" s="677" t="s">
        <v>765</v>
      </c>
      <c r="C354" s="606" t="s">
        <v>20</v>
      </c>
      <c r="D354" s="593">
        <v>31.5</v>
      </c>
      <c r="E354" s="593">
        <v>11</v>
      </c>
      <c r="F354" s="600" t="s">
        <v>759</v>
      </c>
      <c r="G354" s="603">
        <v>3</v>
      </c>
      <c r="H354" s="603">
        <v>3</v>
      </c>
      <c r="I354" s="667" t="s">
        <v>1065</v>
      </c>
      <c r="J354" s="480"/>
      <c r="K354" s="474"/>
      <c r="L354" s="474"/>
      <c r="M354" s="474"/>
    </row>
    <row r="355" spans="1:13" ht="69" customHeight="1">
      <c r="A355" s="676"/>
      <c r="B355" s="678"/>
      <c r="C355" s="274" t="s">
        <v>67</v>
      </c>
      <c r="D355" s="191">
        <v>62</v>
      </c>
      <c r="E355" s="191">
        <v>44.2</v>
      </c>
      <c r="F355" s="600" t="s">
        <v>441</v>
      </c>
      <c r="G355" s="603">
        <v>100</v>
      </c>
      <c r="H355" s="603">
        <v>100</v>
      </c>
      <c r="I355" s="669"/>
    </row>
    <row r="356" spans="1:13" ht="21.75" customHeight="1">
      <c r="A356" s="675" t="s">
        <v>924</v>
      </c>
      <c r="B356" s="677" t="s">
        <v>925</v>
      </c>
      <c r="C356" s="606" t="s">
        <v>20</v>
      </c>
      <c r="D356" s="191">
        <v>0</v>
      </c>
      <c r="E356" s="191">
        <v>53</v>
      </c>
      <c r="F356" s="727" t="s">
        <v>441</v>
      </c>
      <c r="G356" s="744">
        <v>0</v>
      </c>
      <c r="H356" s="744">
        <v>50</v>
      </c>
      <c r="I356" s="667" t="s">
        <v>1129</v>
      </c>
    </row>
    <row r="357" spans="1:13" ht="21.75" customHeight="1">
      <c r="A357" s="827"/>
      <c r="B357" s="716"/>
      <c r="C357" s="606" t="s">
        <v>100</v>
      </c>
      <c r="D357" s="191">
        <v>0</v>
      </c>
      <c r="E357" s="191">
        <v>74.599999999999994</v>
      </c>
      <c r="F357" s="1040"/>
      <c r="G357" s="1041"/>
      <c r="H357" s="1041"/>
      <c r="I357" s="668"/>
    </row>
    <row r="358" spans="1:13" ht="34.5" customHeight="1">
      <c r="A358" s="827"/>
      <c r="B358" s="716"/>
      <c r="C358" s="606" t="s">
        <v>67</v>
      </c>
      <c r="D358" s="191">
        <v>0</v>
      </c>
      <c r="E358" s="191">
        <v>148.30000000000001</v>
      </c>
      <c r="F358" s="1040"/>
      <c r="G358" s="1041"/>
      <c r="H358" s="1041"/>
      <c r="I358" s="668"/>
    </row>
    <row r="359" spans="1:13" ht="20.25" customHeight="1" thickBot="1">
      <c r="A359" s="691"/>
      <c r="B359" s="658"/>
      <c r="C359" s="543" t="s">
        <v>210</v>
      </c>
      <c r="D359" s="567">
        <v>0</v>
      </c>
      <c r="E359" s="567">
        <v>37.799999999999997</v>
      </c>
      <c r="F359" s="660"/>
      <c r="G359" s="1014"/>
      <c r="H359" s="1014"/>
      <c r="I359" s="664"/>
      <c r="J359" s="476"/>
      <c r="K359" s="457"/>
      <c r="L359" s="457"/>
      <c r="M359" s="457"/>
    </row>
    <row r="360" spans="1:13" ht="41.25" customHeight="1" thickBot="1">
      <c r="A360" s="114" t="s">
        <v>120</v>
      </c>
      <c r="B360" s="110" t="s">
        <v>760</v>
      </c>
      <c r="C360" s="111"/>
      <c r="D360" s="168">
        <f>SUM(D361:D364)</f>
        <v>100.6</v>
      </c>
      <c r="E360" s="168">
        <f>SUM(E361:E364)</f>
        <v>51.699999999999996</v>
      </c>
      <c r="F360" s="934"/>
      <c r="G360" s="935"/>
      <c r="H360" s="935"/>
      <c r="I360" s="936"/>
      <c r="J360" s="476"/>
      <c r="K360" s="457"/>
      <c r="L360" s="457"/>
      <c r="M360" s="457"/>
    </row>
    <row r="361" spans="1:13" ht="46.5" customHeight="1">
      <c r="A361" s="375" t="s">
        <v>761</v>
      </c>
      <c r="B361" s="589" t="s">
        <v>762</v>
      </c>
      <c r="C361" s="590" t="s">
        <v>20</v>
      </c>
      <c r="D361" s="592">
        <v>7</v>
      </c>
      <c r="E361" s="594">
        <v>2.5</v>
      </c>
      <c r="F361" s="188" t="s">
        <v>360</v>
      </c>
      <c r="G361" s="602">
        <v>10</v>
      </c>
      <c r="H361" s="602">
        <v>11</v>
      </c>
      <c r="I361" s="425" t="s">
        <v>1048</v>
      </c>
    </row>
    <row r="362" spans="1:13" ht="36" customHeight="1">
      <c r="A362" s="562" t="s">
        <v>763</v>
      </c>
      <c r="B362" s="574" t="s">
        <v>358</v>
      </c>
      <c r="C362" s="606" t="s">
        <v>20</v>
      </c>
      <c r="D362" s="593">
        <v>1.7</v>
      </c>
      <c r="E362" s="595">
        <v>1.6</v>
      </c>
      <c r="F362" s="287" t="s">
        <v>767</v>
      </c>
      <c r="G362" s="603">
        <v>1</v>
      </c>
      <c r="H362" s="603">
        <v>1</v>
      </c>
      <c r="I362" s="426" t="s">
        <v>1049</v>
      </c>
    </row>
    <row r="363" spans="1:13" ht="40.5" customHeight="1">
      <c r="A363" s="675" t="s">
        <v>764</v>
      </c>
      <c r="B363" s="677" t="s">
        <v>766</v>
      </c>
      <c r="C363" s="606" t="s">
        <v>20</v>
      </c>
      <c r="D363" s="593">
        <v>13.8</v>
      </c>
      <c r="E363" s="595">
        <v>9.3000000000000007</v>
      </c>
      <c r="F363" s="287" t="s">
        <v>459</v>
      </c>
      <c r="G363" s="603">
        <v>98</v>
      </c>
      <c r="H363" s="603">
        <v>98</v>
      </c>
      <c r="I363" s="1026" t="s">
        <v>1016</v>
      </c>
    </row>
    <row r="364" spans="1:13" ht="60.75" customHeight="1" thickBot="1">
      <c r="A364" s="676"/>
      <c r="B364" s="678"/>
      <c r="C364" s="537" t="s">
        <v>67</v>
      </c>
      <c r="D364" s="534">
        <v>78.099999999999994</v>
      </c>
      <c r="E364" s="538">
        <v>38.299999999999997</v>
      </c>
      <c r="F364" s="355" t="s">
        <v>441</v>
      </c>
      <c r="G364" s="503">
        <v>100</v>
      </c>
      <c r="H364" s="503">
        <v>100</v>
      </c>
      <c r="I364" s="1038"/>
    </row>
    <row r="365" spans="1:13" ht="54" customHeight="1" thickBot="1">
      <c r="A365" s="113" t="s">
        <v>25</v>
      </c>
      <c r="B365" s="116" t="s">
        <v>768</v>
      </c>
      <c r="C365" s="117"/>
      <c r="D365" s="170">
        <f>D366+D431+D448+D453+D462+D469+D474</f>
        <v>6607.6</v>
      </c>
      <c r="E365" s="170">
        <f>E366+E431+E448+E453+E462+E469+E474</f>
        <v>4703.7000000000007</v>
      </c>
      <c r="F365" s="918"/>
      <c r="G365" s="919"/>
      <c r="H365" s="919"/>
      <c r="I365" s="920"/>
    </row>
    <row r="366" spans="1:13" ht="64.5" customHeight="1" thickBot="1">
      <c r="A366" s="114" t="s">
        <v>27</v>
      </c>
      <c r="B366" s="110" t="s">
        <v>769</v>
      </c>
      <c r="C366" s="111"/>
      <c r="D366" s="168">
        <f>SUM(D367:D430)</f>
        <v>2795.4000000000005</v>
      </c>
      <c r="E366" s="168">
        <f>SUM(E367:E430)</f>
        <v>2420.9</v>
      </c>
      <c r="F366" s="717"/>
      <c r="G366" s="718"/>
      <c r="H366" s="718"/>
      <c r="I366" s="719"/>
    </row>
    <row r="367" spans="1:13">
      <c r="A367" s="683" t="s">
        <v>29</v>
      </c>
      <c r="B367" s="685" t="s">
        <v>770</v>
      </c>
      <c r="C367" s="998" t="s">
        <v>20</v>
      </c>
      <c r="D367" s="999">
        <f>31.6+0.8+3.6</f>
        <v>36</v>
      </c>
      <c r="E367" s="1000">
        <f>34.4+3.6+0.8+2.2+6.3+1</f>
        <v>48.3</v>
      </c>
      <c r="F367" s="302" t="s">
        <v>771</v>
      </c>
      <c r="G367" s="303">
        <v>1</v>
      </c>
      <c r="H367" s="303">
        <v>1</v>
      </c>
      <c r="I367" s="687" t="s">
        <v>940</v>
      </c>
    </row>
    <row r="368" spans="1:13" ht="18" customHeight="1">
      <c r="A368" s="684"/>
      <c r="B368" s="686"/>
      <c r="C368" s="708"/>
      <c r="D368" s="711"/>
      <c r="E368" s="714"/>
      <c r="F368" s="304" t="s">
        <v>772</v>
      </c>
      <c r="G368" s="279">
        <v>1</v>
      </c>
      <c r="H368" s="279">
        <v>1</v>
      </c>
      <c r="I368" s="688"/>
    </row>
    <row r="369" spans="1:9" ht="30.75" customHeight="1">
      <c r="A369" s="684"/>
      <c r="B369" s="686"/>
      <c r="C369" s="708"/>
      <c r="D369" s="711"/>
      <c r="E369" s="714"/>
      <c r="F369" s="304" t="s">
        <v>773</v>
      </c>
      <c r="G369" s="279">
        <v>1</v>
      </c>
      <c r="H369" s="279">
        <v>2</v>
      </c>
      <c r="I369" s="688"/>
    </row>
    <row r="370" spans="1:9" ht="18.75" customHeight="1">
      <c r="A370" s="684"/>
      <c r="B370" s="686"/>
      <c r="C370" s="708"/>
      <c r="D370" s="711"/>
      <c r="E370" s="714"/>
      <c r="F370" s="304" t="s">
        <v>1051</v>
      </c>
      <c r="G370" s="279">
        <v>1</v>
      </c>
      <c r="H370" s="279">
        <v>1</v>
      </c>
      <c r="I370" s="688"/>
    </row>
    <row r="371" spans="1:9" ht="18.75" customHeight="1">
      <c r="A371" s="684"/>
      <c r="B371" s="686"/>
      <c r="C371" s="708"/>
      <c r="D371" s="711"/>
      <c r="E371" s="714"/>
      <c r="F371" s="304" t="s">
        <v>1050</v>
      </c>
      <c r="G371" s="279">
        <v>0</v>
      </c>
      <c r="H371" s="279">
        <v>1</v>
      </c>
      <c r="I371" s="688"/>
    </row>
    <row r="372" spans="1:9">
      <c r="A372" s="689" t="s">
        <v>31</v>
      </c>
      <c r="B372" s="720" t="s">
        <v>774</v>
      </c>
      <c r="C372" s="707" t="s">
        <v>20</v>
      </c>
      <c r="D372" s="710">
        <v>13</v>
      </c>
      <c r="E372" s="713">
        <f>9.4+3.6</f>
        <v>13</v>
      </c>
      <c r="F372" s="306" t="s">
        <v>775</v>
      </c>
      <c r="G372" s="279">
        <v>2</v>
      </c>
      <c r="H372" s="279">
        <v>1</v>
      </c>
      <c r="I372" s="695" t="s">
        <v>565</v>
      </c>
    </row>
    <row r="373" spans="1:9" ht="28">
      <c r="A373" s="690"/>
      <c r="B373" s="826"/>
      <c r="C373" s="709"/>
      <c r="D373" s="712"/>
      <c r="E373" s="715"/>
      <c r="F373" s="306" t="s">
        <v>937</v>
      </c>
      <c r="G373" s="279">
        <v>0</v>
      </c>
      <c r="H373" s="279">
        <v>1</v>
      </c>
      <c r="I373" s="696"/>
    </row>
    <row r="374" spans="1:9">
      <c r="A374" s="689" t="s">
        <v>187</v>
      </c>
      <c r="B374" s="720" t="s">
        <v>776</v>
      </c>
      <c r="C374" s="707" t="s">
        <v>20</v>
      </c>
      <c r="D374" s="710">
        <v>40</v>
      </c>
      <c r="E374" s="713">
        <f>14.9+1.4+22+12</f>
        <v>50.3</v>
      </c>
      <c r="F374" s="305" t="s">
        <v>777</v>
      </c>
      <c r="G374" s="279">
        <v>98</v>
      </c>
      <c r="H374" s="279">
        <v>65</v>
      </c>
      <c r="I374" s="695" t="s">
        <v>1131</v>
      </c>
    </row>
    <row r="375" spans="1:9">
      <c r="A375" s="684"/>
      <c r="B375" s="686"/>
      <c r="C375" s="708"/>
      <c r="D375" s="711"/>
      <c r="E375" s="714"/>
      <c r="F375" s="305" t="s">
        <v>778</v>
      </c>
      <c r="G375" s="279">
        <v>12</v>
      </c>
      <c r="H375" s="279">
        <v>12</v>
      </c>
      <c r="I375" s="688"/>
    </row>
    <row r="376" spans="1:9">
      <c r="A376" s="684"/>
      <c r="B376" s="686"/>
      <c r="C376" s="708"/>
      <c r="D376" s="711"/>
      <c r="E376" s="714"/>
      <c r="F376" s="305" t="s">
        <v>779</v>
      </c>
      <c r="G376" s="279">
        <v>250</v>
      </c>
      <c r="H376" s="279">
        <v>100</v>
      </c>
      <c r="I376" s="688"/>
    </row>
    <row r="377" spans="1:9">
      <c r="A377" s="690"/>
      <c r="B377" s="826"/>
      <c r="C377" s="709"/>
      <c r="D377" s="712"/>
      <c r="E377" s="715"/>
      <c r="F377" s="305" t="s">
        <v>939</v>
      </c>
      <c r="G377" s="279">
        <v>0</v>
      </c>
      <c r="H377" s="279">
        <v>363.5</v>
      </c>
      <c r="I377" s="696"/>
    </row>
    <row r="378" spans="1:9" ht="33" customHeight="1">
      <c r="A378" s="689" t="s">
        <v>188</v>
      </c>
      <c r="B378" s="720" t="s">
        <v>471</v>
      </c>
      <c r="C378" s="707" t="s">
        <v>20</v>
      </c>
      <c r="D378" s="710">
        <v>10.6</v>
      </c>
      <c r="E378" s="713">
        <f>6.7+3.8</f>
        <v>10.5</v>
      </c>
      <c r="F378" s="369" t="s">
        <v>771</v>
      </c>
      <c r="G378" s="276">
        <v>1</v>
      </c>
      <c r="H378" s="276">
        <v>1</v>
      </c>
      <c r="I378" s="695" t="s">
        <v>941</v>
      </c>
    </row>
    <row r="379" spans="1:9" ht="15.5">
      <c r="A379" s="684"/>
      <c r="B379" s="686"/>
      <c r="C379" s="708"/>
      <c r="D379" s="711"/>
      <c r="E379" s="714"/>
      <c r="F379" s="370" t="s">
        <v>777</v>
      </c>
      <c r="G379" s="279">
        <v>50</v>
      </c>
      <c r="H379" s="279">
        <v>50</v>
      </c>
      <c r="I379" s="688"/>
    </row>
    <row r="380" spans="1:9" ht="36" customHeight="1">
      <c r="A380" s="690"/>
      <c r="B380" s="826"/>
      <c r="C380" s="709"/>
      <c r="D380" s="712"/>
      <c r="E380" s="715"/>
      <c r="F380" s="371" t="s">
        <v>780</v>
      </c>
      <c r="G380" s="276">
        <v>70</v>
      </c>
      <c r="H380" s="276">
        <v>70</v>
      </c>
      <c r="I380" s="696"/>
    </row>
    <row r="381" spans="1:9" ht="33" customHeight="1">
      <c r="A381" s="554" t="s">
        <v>189</v>
      </c>
      <c r="B381" s="555" t="s">
        <v>781</v>
      </c>
      <c r="C381" s="556" t="s">
        <v>20</v>
      </c>
      <c r="D381" s="557">
        <v>37</v>
      </c>
      <c r="E381" s="558">
        <v>37</v>
      </c>
      <c r="F381" s="187" t="s">
        <v>777</v>
      </c>
      <c r="G381" s="279">
        <v>300</v>
      </c>
      <c r="H381" s="279">
        <v>263</v>
      </c>
      <c r="I381" s="506" t="s">
        <v>938</v>
      </c>
    </row>
    <row r="382" spans="1:9" ht="28">
      <c r="A382" s="554" t="s">
        <v>264</v>
      </c>
      <c r="B382" s="555" t="s">
        <v>782</v>
      </c>
      <c r="C382" s="556" t="s">
        <v>20</v>
      </c>
      <c r="D382" s="557">
        <v>4</v>
      </c>
      <c r="E382" s="558">
        <v>0</v>
      </c>
      <c r="F382" s="420" t="s">
        <v>783</v>
      </c>
      <c r="G382" s="279">
        <v>1</v>
      </c>
      <c r="H382" s="279">
        <v>0</v>
      </c>
      <c r="I382" s="506" t="s">
        <v>1125</v>
      </c>
    </row>
    <row r="383" spans="1:9" ht="45" customHeight="1">
      <c r="A383" s="689" t="s">
        <v>265</v>
      </c>
      <c r="B383" s="720" t="s">
        <v>784</v>
      </c>
      <c r="C383" s="707" t="s">
        <v>20</v>
      </c>
      <c r="D383" s="710">
        <v>21.6</v>
      </c>
      <c r="E383" s="713">
        <f>12.2+12.1</f>
        <v>24.299999999999997</v>
      </c>
      <c r="F383" s="369" t="s">
        <v>785</v>
      </c>
      <c r="G383" s="279">
        <v>730</v>
      </c>
      <c r="H383" s="279">
        <v>730</v>
      </c>
      <c r="I383" s="695" t="s">
        <v>946</v>
      </c>
    </row>
    <row r="384" spans="1:9" ht="31">
      <c r="A384" s="684"/>
      <c r="B384" s="686"/>
      <c r="C384" s="708"/>
      <c r="D384" s="711"/>
      <c r="E384" s="714"/>
      <c r="F384" s="371" t="s">
        <v>786</v>
      </c>
      <c r="G384" s="279">
        <v>1</v>
      </c>
      <c r="H384" s="279">
        <v>1</v>
      </c>
      <c r="I384" s="688"/>
    </row>
    <row r="385" spans="1:9" ht="42">
      <c r="A385" s="554" t="s">
        <v>266</v>
      </c>
      <c r="B385" s="555" t="s">
        <v>787</v>
      </c>
      <c r="C385" s="556" t="s">
        <v>20</v>
      </c>
      <c r="D385" s="557">
        <v>0</v>
      </c>
      <c r="E385" s="558">
        <v>12</v>
      </c>
      <c r="F385" s="371" t="s">
        <v>777</v>
      </c>
      <c r="G385" s="279">
        <v>0</v>
      </c>
      <c r="H385" s="279">
        <v>75</v>
      </c>
      <c r="I385" s="506" t="s">
        <v>945</v>
      </c>
    </row>
    <row r="386" spans="1:9" ht="46.5">
      <c r="A386" s="689" t="s">
        <v>267</v>
      </c>
      <c r="B386" s="720" t="s">
        <v>788</v>
      </c>
      <c r="C386" s="707" t="s">
        <v>20</v>
      </c>
      <c r="D386" s="710">
        <v>65</v>
      </c>
      <c r="E386" s="713">
        <f>5.2+26.2+27.9</f>
        <v>59.3</v>
      </c>
      <c r="F386" s="420" t="s">
        <v>1019</v>
      </c>
      <c r="G386" s="279">
        <v>1</v>
      </c>
      <c r="H386" s="279">
        <v>3</v>
      </c>
      <c r="I386" s="667" t="s">
        <v>1021</v>
      </c>
    </row>
    <row r="387" spans="1:9" ht="31">
      <c r="A387" s="684"/>
      <c r="B387" s="686"/>
      <c r="C387" s="708"/>
      <c r="D387" s="711"/>
      <c r="E387" s="714"/>
      <c r="F387" s="461" t="s">
        <v>1017</v>
      </c>
      <c r="G387" s="279">
        <v>1</v>
      </c>
      <c r="H387" s="279">
        <v>1</v>
      </c>
      <c r="I387" s="668"/>
    </row>
    <row r="388" spans="1:9" ht="33" customHeight="1">
      <c r="A388" s="684"/>
      <c r="B388" s="686"/>
      <c r="C388" s="708"/>
      <c r="D388" s="711"/>
      <c r="E388" s="714"/>
      <c r="F388" s="462" t="s">
        <v>1018</v>
      </c>
      <c r="G388" s="279">
        <v>0</v>
      </c>
      <c r="H388" s="279">
        <v>1</v>
      </c>
      <c r="I388" s="668"/>
    </row>
    <row r="389" spans="1:9" ht="15.5">
      <c r="A389" s="690"/>
      <c r="B389" s="826"/>
      <c r="C389" s="709"/>
      <c r="D389" s="712"/>
      <c r="E389" s="715"/>
      <c r="F389" s="461" t="s">
        <v>1020</v>
      </c>
      <c r="G389" s="279">
        <v>2</v>
      </c>
      <c r="H389" s="279">
        <v>2</v>
      </c>
      <c r="I389" s="669"/>
    </row>
    <row r="390" spans="1:9" ht="42">
      <c r="A390" s="554" t="s">
        <v>269</v>
      </c>
      <c r="B390" s="555" t="s">
        <v>789</v>
      </c>
      <c r="C390" s="556" t="s">
        <v>20</v>
      </c>
      <c r="D390" s="557">
        <v>30</v>
      </c>
      <c r="E390" s="558">
        <v>32.200000000000003</v>
      </c>
      <c r="F390" s="306" t="s">
        <v>790</v>
      </c>
      <c r="G390" s="276">
        <v>500</v>
      </c>
      <c r="H390" s="276">
        <v>500</v>
      </c>
      <c r="I390" s="506" t="s">
        <v>944</v>
      </c>
    </row>
    <row r="391" spans="1:9" ht="28">
      <c r="A391" s="697" t="s">
        <v>270</v>
      </c>
      <c r="B391" s="677" t="s">
        <v>947</v>
      </c>
      <c r="C391" s="699" t="s">
        <v>20</v>
      </c>
      <c r="D391" s="670">
        <v>20.5</v>
      </c>
      <c r="E391" s="735">
        <f>10.5+8.9+1.1</f>
        <v>20.5</v>
      </c>
      <c r="F391" s="307" t="s">
        <v>948</v>
      </c>
      <c r="G391" s="603">
        <v>260</v>
      </c>
      <c r="H391" s="603">
        <v>260</v>
      </c>
      <c r="I391" s="667" t="s">
        <v>1024</v>
      </c>
    </row>
    <row r="392" spans="1:9">
      <c r="A392" s="722"/>
      <c r="B392" s="716"/>
      <c r="C392" s="721"/>
      <c r="D392" s="671"/>
      <c r="E392" s="752"/>
      <c r="F392" s="577" t="s">
        <v>1022</v>
      </c>
      <c r="G392" s="603">
        <v>0</v>
      </c>
      <c r="H392" s="603">
        <v>205</v>
      </c>
      <c r="I392" s="668"/>
    </row>
    <row r="393" spans="1:9">
      <c r="A393" s="698"/>
      <c r="B393" s="678"/>
      <c r="C393" s="700"/>
      <c r="D393" s="672"/>
      <c r="E393" s="733"/>
      <c r="F393" s="577" t="s">
        <v>1023</v>
      </c>
      <c r="G393" s="603">
        <v>0</v>
      </c>
      <c r="H393" s="603">
        <v>3</v>
      </c>
      <c r="I393" s="669"/>
    </row>
    <row r="394" spans="1:9" ht="18" customHeight="1">
      <c r="A394" s="697" t="s">
        <v>272</v>
      </c>
      <c r="B394" s="677" t="s">
        <v>950</v>
      </c>
      <c r="C394" s="699" t="s">
        <v>20</v>
      </c>
      <c r="D394" s="670">
        <v>16.8</v>
      </c>
      <c r="E394" s="735">
        <f>16.7+5</f>
        <v>21.7</v>
      </c>
      <c r="F394" s="371" t="s">
        <v>785</v>
      </c>
      <c r="G394" s="603">
        <v>100</v>
      </c>
      <c r="H394" s="603">
        <v>0</v>
      </c>
      <c r="I394" s="667" t="s">
        <v>952</v>
      </c>
    </row>
    <row r="395" spans="1:9" ht="18" customHeight="1">
      <c r="A395" s="722"/>
      <c r="B395" s="716"/>
      <c r="C395" s="721"/>
      <c r="D395" s="671"/>
      <c r="E395" s="752"/>
      <c r="F395" s="371" t="s">
        <v>791</v>
      </c>
      <c r="G395" s="603">
        <v>1</v>
      </c>
      <c r="H395" s="603">
        <v>0</v>
      </c>
      <c r="I395" s="668"/>
    </row>
    <row r="396" spans="1:9" ht="33.75" customHeight="1">
      <c r="A396" s="722"/>
      <c r="B396" s="716"/>
      <c r="C396" s="721"/>
      <c r="D396" s="671"/>
      <c r="E396" s="752"/>
      <c r="F396" s="371" t="s">
        <v>1052</v>
      </c>
      <c r="G396" s="603">
        <v>0</v>
      </c>
      <c r="H396" s="603">
        <v>1</v>
      </c>
      <c r="I396" s="668"/>
    </row>
    <row r="397" spans="1:9" ht="15.5">
      <c r="A397" s="698"/>
      <c r="B397" s="678"/>
      <c r="C397" s="700"/>
      <c r="D397" s="672"/>
      <c r="E397" s="733"/>
      <c r="F397" s="371" t="s">
        <v>1023</v>
      </c>
      <c r="G397" s="603">
        <v>0</v>
      </c>
      <c r="H397" s="603">
        <v>1</v>
      </c>
      <c r="I397" s="669"/>
    </row>
    <row r="398" spans="1:9" ht="30.75" customHeight="1">
      <c r="A398" s="576" t="s">
        <v>273</v>
      </c>
      <c r="B398" s="574" t="s">
        <v>792</v>
      </c>
      <c r="C398" s="606" t="s">
        <v>20</v>
      </c>
      <c r="D398" s="593">
        <v>7</v>
      </c>
      <c r="E398" s="595">
        <v>7</v>
      </c>
      <c r="F398" s="305" t="s">
        <v>785</v>
      </c>
      <c r="G398" s="603">
        <v>150</v>
      </c>
      <c r="H398" s="603">
        <v>200</v>
      </c>
      <c r="I398" s="514" t="s">
        <v>951</v>
      </c>
    </row>
    <row r="399" spans="1:9" ht="30.75" customHeight="1">
      <c r="A399" s="477" t="s">
        <v>274</v>
      </c>
      <c r="B399" s="530" t="s">
        <v>793</v>
      </c>
      <c r="C399" s="537" t="s">
        <v>20</v>
      </c>
      <c r="D399" s="534">
        <v>20</v>
      </c>
      <c r="E399" s="538">
        <v>20</v>
      </c>
      <c r="F399" s="577" t="s">
        <v>785</v>
      </c>
      <c r="G399" s="512">
        <v>200</v>
      </c>
      <c r="H399" s="512">
        <v>200</v>
      </c>
      <c r="I399" s="505" t="s">
        <v>942</v>
      </c>
    </row>
    <row r="400" spans="1:9" ht="18.75" customHeight="1">
      <c r="A400" s="697" t="s">
        <v>276</v>
      </c>
      <c r="B400" s="677" t="s">
        <v>794</v>
      </c>
      <c r="C400" s="699" t="s">
        <v>20</v>
      </c>
      <c r="D400" s="670">
        <v>37.5</v>
      </c>
      <c r="E400" s="670">
        <f>15.2+3.5+0.3+8.5+7.9+1.8</f>
        <v>37.199999999999996</v>
      </c>
      <c r="F400" s="478" t="s">
        <v>472</v>
      </c>
      <c r="G400" s="308">
        <v>350</v>
      </c>
      <c r="H400" s="308">
        <v>356</v>
      </c>
      <c r="I400" s="667" t="s">
        <v>943</v>
      </c>
    </row>
    <row r="401" spans="1:14" ht="18.75" customHeight="1">
      <c r="A401" s="722"/>
      <c r="B401" s="716"/>
      <c r="C401" s="721"/>
      <c r="D401" s="671"/>
      <c r="E401" s="671"/>
      <c r="F401" s="478" t="s">
        <v>795</v>
      </c>
      <c r="G401" s="308">
        <v>1</v>
      </c>
      <c r="H401" s="308">
        <v>2</v>
      </c>
      <c r="I401" s="668"/>
    </row>
    <row r="402" spans="1:14" ht="34.5" customHeight="1">
      <c r="A402" s="722"/>
      <c r="B402" s="716"/>
      <c r="C402" s="721"/>
      <c r="D402" s="671"/>
      <c r="E402" s="671"/>
      <c r="F402" s="461" t="s">
        <v>796</v>
      </c>
      <c r="G402" s="308">
        <v>5</v>
      </c>
      <c r="H402" s="308">
        <v>1</v>
      </c>
      <c r="I402" s="668"/>
    </row>
    <row r="403" spans="1:14" ht="31.5" customHeight="1">
      <c r="A403" s="722"/>
      <c r="B403" s="716"/>
      <c r="C403" s="721"/>
      <c r="D403" s="671"/>
      <c r="E403" s="671"/>
      <c r="F403" s="461" t="s">
        <v>1033</v>
      </c>
      <c r="G403" s="308">
        <v>0.5</v>
      </c>
      <c r="H403" s="308">
        <v>0.92400000000000004</v>
      </c>
      <c r="I403" s="668"/>
    </row>
    <row r="404" spans="1:14" ht="31">
      <c r="A404" s="722"/>
      <c r="B404" s="716"/>
      <c r="C404" s="721"/>
      <c r="D404" s="671"/>
      <c r="E404" s="671"/>
      <c r="F404" s="371" t="s">
        <v>1053</v>
      </c>
      <c r="G404" s="308">
        <v>0</v>
      </c>
      <c r="H404" s="308">
        <v>10</v>
      </c>
      <c r="I404" s="668"/>
    </row>
    <row r="405" spans="1:14" ht="31">
      <c r="A405" s="698"/>
      <c r="B405" s="678"/>
      <c r="C405" s="700"/>
      <c r="D405" s="672"/>
      <c r="E405" s="672"/>
      <c r="F405" s="371" t="s">
        <v>1060</v>
      </c>
      <c r="G405" s="308">
        <v>0</v>
      </c>
      <c r="H405" s="308">
        <v>5</v>
      </c>
      <c r="I405" s="669"/>
    </row>
    <row r="406" spans="1:14" ht="31">
      <c r="A406" s="697" t="s">
        <v>277</v>
      </c>
      <c r="B406" s="677" t="s">
        <v>797</v>
      </c>
      <c r="C406" s="699" t="s">
        <v>20</v>
      </c>
      <c r="D406" s="670">
        <v>40.299999999999997</v>
      </c>
      <c r="E406" s="670">
        <f>23.7+4.8+8.5+3.3</f>
        <v>40.299999999999997</v>
      </c>
      <c r="F406" s="372" t="s">
        <v>798</v>
      </c>
      <c r="G406" s="308">
        <v>1</v>
      </c>
      <c r="H406" s="308">
        <v>1</v>
      </c>
      <c r="I406" s="667" t="s">
        <v>566</v>
      </c>
    </row>
    <row r="407" spans="1:14" ht="33" customHeight="1">
      <c r="A407" s="722"/>
      <c r="B407" s="716"/>
      <c r="C407" s="721"/>
      <c r="D407" s="671"/>
      <c r="E407" s="671"/>
      <c r="F407" s="371" t="s">
        <v>799</v>
      </c>
      <c r="G407" s="308">
        <v>120</v>
      </c>
      <c r="H407" s="308">
        <v>120</v>
      </c>
      <c r="I407" s="668"/>
      <c r="J407" s="476"/>
      <c r="K407" s="476"/>
      <c r="L407" s="476"/>
      <c r="M407" s="457"/>
    </row>
    <row r="408" spans="1:14" ht="33.75" customHeight="1">
      <c r="A408" s="722"/>
      <c r="B408" s="716"/>
      <c r="C408" s="721"/>
      <c r="D408" s="671"/>
      <c r="E408" s="671"/>
      <c r="F408" s="371" t="s">
        <v>800</v>
      </c>
      <c r="G408" s="308">
        <v>330</v>
      </c>
      <c r="H408" s="308">
        <v>330</v>
      </c>
      <c r="I408" s="668"/>
    </row>
    <row r="409" spans="1:14" ht="15.5">
      <c r="A409" s="698"/>
      <c r="B409" s="678"/>
      <c r="C409" s="700"/>
      <c r="D409" s="672"/>
      <c r="E409" s="672"/>
      <c r="F409" s="371" t="s">
        <v>1054</v>
      </c>
      <c r="G409" s="308">
        <v>0</v>
      </c>
      <c r="H409" s="308">
        <v>1</v>
      </c>
      <c r="I409" s="669"/>
    </row>
    <row r="410" spans="1:14" ht="28">
      <c r="A410" s="147" t="s">
        <v>278</v>
      </c>
      <c r="B410" s="574" t="s">
        <v>801</v>
      </c>
      <c r="C410" s="231" t="s">
        <v>20</v>
      </c>
      <c r="D410" s="232">
        <v>10</v>
      </c>
      <c r="E410" s="232">
        <v>10</v>
      </c>
      <c r="F410" s="309" t="s">
        <v>802</v>
      </c>
      <c r="G410" s="308">
        <v>600</v>
      </c>
      <c r="H410" s="308">
        <v>600</v>
      </c>
      <c r="I410" s="504" t="s">
        <v>953</v>
      </c>
    </row>
    <row r="411" spans="1:14" ht="34.5" customHeight="1">
      <c r="A411" s="147" t="s">
        <v>279</v>
      </c>
      <c r="B411" s="574" t="s">
        <v>803</v>
      </c>
      <c r="C411" s="231" t="s">
        <v>20</v>
      </c>
      <c r="D411" s="232">
        <v>26</v>
      </c>
      <c r="E411" s="232">
        <v>25.5</v>
      </c>
      <c r="F411" s="310" t="s">
        <v>804</v>
      </c>
      <c r="G411" s="308">
        <v>220</v>
      </c>
      <c r="H411" s="308">
        <v>370</v>
      </c>
      <c r="I411" s="421" t="s">
        <v>955</v>
      </c>
      <c r="J411" s="476"/>
      <c r="K411" s="476"/>
      <c r="L411" s="476"/>
      <c r="M411" s="457"/>
      <c r="N411" s="471"/>
    </row>
    <row r="412" spans="1:14" ht="30.75" customHeight="1">
      <c r="A412" s="147" t="s">
        <v>473</v>
      </c>
      <c r="B412" s="574" t="s">
        <v>805</v>
      </c>
      <c r="C412" s="231" t="s">
        <v>20</v>
      </c>
      <c r="D412" s="232">
        <v>12.6</v>
      </c>
      <c r="E412" s="232">
        <v>12.6</v>
      </c>
      <c r="F412" s="388" t="s">
        <v>802</v>
      </c>
      <c r="G412" s="308">
        <v>360</v>
      </c>
      <c r="H412" s="308">
        <v>360</v>
      </c>
      <c r="I412" s="421" t="s">
        <v>954</v>
      </c>
      <c r="J412" s="471"/>
      <c r="K412" s="471"/>
      <c r="L412" s="471"/>
      <c r="M412" s="471"/>
      <c r="N412" s="471"/>
    </row>
    <row r="413" spans="1:14" ht="30.75" customHeight="1">
      <c r="A413" s="697" t="s">
        <v>474</v>
      </c>
      <c r="B413" s="677" t="s">
        <v>806</v>
      </c>
      <c r="C413" s="606" t="s">
        <v>20</v>
      </c>
      <c r="D413" s="593">
        <f>600+14.2</f>
        <v>614.20000000000005</v>
      </c>
      <c r="E413" s="593">
        <f>600+14.2+7.9</f>
        <v>622.1</v>
      </c>
      <c r="F413" s="372" t="s">
        <v>807</v>
      </c>
      <c r="G413" s="308">
        <v>480</v>
      </c>
      <c r="H413" s="308">
        <v>480</v>
      </c>
      <c r="I413" s="667" t="s">
        <v>930</v>
      </c>
      <c r="J413" s="471"/>
      <c r="K413" s="471"/>
      <c r="L413" s="471"/>
      <c r="M413" s="471"/>
      <c r="N413" s="471"/>
    </row>
    <row r="414" spans="1:14" ht="27" customHeight="1">
      <c r="A414" s="698"/>
      <c r="B414" s="678"/>
      <c r="C414" s="234" t="s">
        <v>100</v>
      </c>
      <c r="D414" s="352">
        <v>0</v>
      </c>
      <c r="E414" s="352">
        <v>15.9</v>
      </c>
      <c r="F414" s="373" t="s">
        <v>931</v>
      </c>
      <c r="G414" s="308">
        <v>1</v>
      </c>
      <c r="H414" s="308">
        <v>1</v>
      </c>
      <c r="I414" s="669"/>
      <c r="J414" s="476"/>
      <c r="K414" s="476"/>
      <c r="L414" s="476"/>
      <c r="M414" s="457"/>
      <c r="N414" s="471"/>
    </row>
    <row r="415" spans="1:14" ht="24.75" customHeight="1">
      <c r="A415" s="697" t="s">
        <v>475</v>
      </c>
      <c r="B415" s="677" t="s">
        <v>808</v>
      </c>
      <c r="C415" s="699" t="s">
        <v>20</v>
      </c>
      <c r="D415" s="670">
        <v>9.9</v>
      </c>
      <c r="E415" s="670">
        <v>3.1</v>
      </c>
      <c r="F415" s="372" t="s">
        <v>809</v>
      </c>
      <c r="G415" s="308">
        <v>402</v>
      </c>
      <c r="H415" s="308">
        <v>0</v>
      </c>
      <c r="I415" s="667" t="s">
        <v>949</v>
      </c>
    </row>
    <row r="416" spans="1:14" ht="24.75" customHeight="1">
      <c r="A416" s="698"/>
      <c r="B416" s="678"/>
      <c r="C416" s="700"/>
      <c r="D416" s="672"/>
      <c r="E416" s="672"/>
      <c r="F416" s="371" t="s">
        <v>721</v>
      </c>
      <c r="G416" s="308">
        <v>5</v>
      </c>
      <c r="H416" s="308">
        <v>5</v>
      </c>
      <c r="I416" s="669"/>
    </row>
    <row r="417" spans="1:9" ht="28">
      <c r="A417" s="147" t="s">
        <v>476</v>
      </c>
      <c r="B417" s="574" t="s">
        <v>810</v>
      </c>
      <c r="C417" s="231" t="s">
        <v>20</v>
      </c>
      <c r="D417" s="232">
        <v>145.5</v>
      </c>
      <c r="E417" s="232">
        <v>111.3</v>
      </c>
      <c r="F417" s="377" t="s">
        <v>811</v>
      </c>
      <c r="G417" s="308">
        <v>100</v>
      </c>
      <c r="H417" s="308">
        <v>100</v>
      </c>
      <c r="I417" s="280" t="s">
        <v>956</v>
      </c>
    </row>
    <row r="418" spans="1:9" ht="46.5">
      <c r="A418" s="697" t="s">
        <v>477</v>
      </c>
      <c r="B418" s="677" t="s">
        <v>812</v>
      </c>
      <c r="C418" s="231" t="s">
        <v>20</v>
      </c>
      <c r="D418" s="232">
        <v>29.5</v>
      </c>
      <c r="E418" s="232">
        <v>23.7</v>
      </c>
      <c r="F418" s="378" t="s">
        <v>479</v>
      </c>
      <c r="G418" s="308">
        <v>6</v>
      </c>
      <c r="H418" s="308">
        <v>6</v>
      </c>
      <c r="I418" s="667" t="s">
        <v>1032</v>
      </c>
    </row>
    <row r="419" spans="1:9" ht="51" customHeight="1">
      <c r="A419" s="722"/>
      <c r="B419" s="716"/>
      <c r="C419" s="231" t="s">
        <v>100</v>
      </c>
      <c r="D419" s="232">
        <v>26.3</v>
      </c>
      <c r="E419" s="232">
        <v>20</v>
      </c>
      <c r="F419" s="378" t="s">
        <v>480</v>
      </c>
      <c r="G419" s="308">
        <v>56</v>
      </c>
      <c r="H419" s="308">
        <v>56</v>
      </c>
      <c r="I419" s="668"/>
    </row>
    <row r="420" spans="1:9" ht="27.75" customHeight="1">
      <c r="A420" s="698"/>
      <c r="B420" s="678"/>
      <c r="C420" s="231" t="s">
        <v>67</v>
      </c>
      <c r="D420" s="232">
        <v>298.2</v>
      </c>
      <c r="E420" s="232">
        <v>231</v>
      </c>
      <c r="F420" s="380" t="s">
        <v>441</v>
      </c>
      <c r="G420" s="308">
        <v>100</v>
      </c>
      <c r="H420" s="308">
        <v>80</v>
      </c>
      <c r="I420" s="669"/>
    </row>
    <row r="421" spans="1:9" ht="45" customHeight="1">
      <c r="A421" s="677" t="s">
        <v>478</v>
      </c>
      <c r="B421" s="677" t="s">
        <v>813</v>
      </c>
      <c r="C421" s="231" t="s">
        <v>20</v>
      </c>
      <c r="D421" s="232">
        <v>300</v>
      </c>
      <c r="E421" s="232">
        <v>244.7</v>
      </c>
      <c r="F421" s="293" t="s">
        <v>814</v>
      </c>
      <c r="G421" s="308">
        <v>4</v>
      </c>
      <c r="H421" s="308">
        <v>4</v>
      </c>
      <c r="I421" s="667" t="s">
        <v>979</v>
      </c>
    </row>
    <row r="422" spans="1:9" ht="18.75" customHeight="1">
      <c r="A422" s="716"/>
      <c r="B422" s="716"/>
      <c r="C422" s="231" t="s">
        <v>100</v>
      </c>
      <c r="D422" s="232">
        <v>31</v>
      </c>
      <c r="E422" s="232">
        <v>31.2</v>
      </c>
      <c r="F422" s="654" t="s">
        <v>441</v>
      </c>
      <c r="G422" s="1020">
        <v>70</v>
      </c>
      <c r="H422" s="1020">
        <v>70</v>
      </c>
      <c r="I422" s="668"/>
    </row>
    <row r="423" spans="1:9" ht="18.75" customHeight="1">
      <c r="A423" s="678"/>
      <c r="B423" s="678"/>
      <c r="C423" s="231" t="s">
        <v>67</v>
      </c>
      <c r="D423" s="232">
        <v>356</v>
      </c>
      <c r="E423" s="232">
        <v>358.7</v>
      </c>
      <c r="F423" s="655"/>
      <c r="G423" s="1032"/>
      <c r="H423" s="1032"/>
      <c r="I423" s="669"/>
    </row>
    <row r="424" spans="1:9" ht="27" customHeight="1">
      <c r="A424" s="697" t="s">
        <v>481</v>
      </c>
      <c r="B424" s="677" t="s">
        <v>815</v>
      </c>
      <c r="C424" s="231" t="s">
        <v>20</v>
      </c>
      <c r="D424" s="232">
        <v>207</v>
      </c>
      <c r="E424" s="232">
        <v>133.9</v>
      </c>
      <c r="F424" s="1052" t="s">
        <v>1165</v>
      </c>
      <c r="G424" s="665">
        <v>1</v>
      </c>
      <c r="H424" s="665">
        <v>1</v>
      </c>
      <c r="I424" s="667" t="s">
        <v>1160</v>
      </c>
    </row>
    <row r="425" spans="1:9" ht="27" customHeight="1">
      <c r="A425" s="722"/>
      <c r="B425" s="716"/>
      <c r="C425" s="231" t="s">
        <v>100</v>
      </c>
      <c r="D425" s="315">
        <v>24.8</v>
      </c>
      <c r="E425" s="315">
        <v>19</v>
      </c>
      <c r="F425" s="1043"/>
      <c r="G425" s="666"/>
      <c r="H425" s="666"/>
      <c r="I425" s="668"/>
    </row>
    <row r="426" spans="1:9" ht="56.25" customHeight="1">
      <c r="A426" s="698"/>
      <c r="B426" s="678"/>
      <c r="C426" s="231" t="s">
        <v>67</v>
      </c>
      <c r="D426" s="315">
        <v>140</v>
      </c>
      <c r="E426" s="315">
        <v>107.1</v>
      </c>
      <c r="F426" s="653" t="s">
        <v>441</v>
      </c>
      <c r="G426" s="520">
        <v>100</v>
      </c>
      <c r="H426" s="520">
        <v>90</v>
      </c>
      <c r="I426" s="669"/>
    </row>
    <row r="427" spans="1:9">
      <c r="A427" s="697" t="s">
        <v>482</v>
      </c>
      <c r="B427" s="677" t="s">
        <v>816</v>
      </c>
      <c r="C427" s="231" t="s">
        <v>20</v>
      </c>
      <c r="D427" s="315">
        <v>107</v>
      </c>
      <c r="E427" s="315">
        <v>1.1000000000000001</v>
      </c>
      <c r="F427" s="1033" t="s">
        <v>1165</v>
      </c>
      <c r="G427" s="665">
        <v>1</v>
      </c>
      <c r="H427" s="665">
        <v>1</v>
      </c>
      <c r="I427" s="667" t="s">
        <v>1161</v>
      </c>
    </row>
    <row r="428" spans="1:9">
      <c r="A428" s="722"/>
      <c r="B428" s="716"/>
      <c r="C428" s="231" t="s">
        <v>100</v>
      </c>
      <c r="D428" s="315">
        <v>8.4</v>
      </c>
      <c r="E428" s="315">
        <v>2.4</v>
      </c>
      <c r="F428" s="1034"/>
      <c r="G428" s="666"/>
      <c r="H428" s="666"/>
      <c r="I428" s="668"/>
    </row>
    <row r="429" spans="1:9" ht="34.5" customHeight="1">
      <c r="A429" s="698"/>
      <c r="B429" s="678"/>
      <c r="C429" s="231" t="s">
        <v>67</v>
      </c>
      <c r="D429" s="315">
        <v>47.3</v>
      </c>
      <c r="E429" s="315">
        <v>13.3</v>
      </c>
      <c r="F429" s="473" t="s">
        <v>441</v>
      </c>
      <c r="G429" s="314">
        <v>100</v>
      </c>
      <c r="H429" s="314">
        <v>90</v>
      </c>
      <c r="I429" s="669"/>
    </row>
    <row r="430" spans="1:9" ht="49.5" customHeight="1" thickBot="1">
      <c r="A430" s="147" t="s">
        <v>483</v>
      </c>
      <c r="B430" s="574" t="s">
        <v>484</v>
      </c>
      <c r="C430" s="231" t="s">
        <v>20</v>
      </c>
      <c r="D430" s="315">
        <v>2.4</v>
      </c>
      <c r="E430" s="315">
        <v>0.7</v>
      </c>
      <c r="F430" s="577" t="s">
        <v>485</v>
      </c>
      <c r="G430" s="314">
        <v>3</v>
      </c>
      <c r="H430" s="314">
        <v>2</v>
      </c>
      <c r="I430" s="504" t="s">
        <v>980</v>
      </c>
    </row>
    <row r="431" spans="1:9" ht="70.5" thickBot="1">
      <c r="A431" s="114" t="s">
        <v>127</v>
      </c>
      <c r="B431" s="110" t="s">
        <v>817</v>
      </c>
      <c r="C431" s="111"/>
      <c r="D431" s="168">
        <f>SUM(D432:D447)</f>
        <v>735.69999999999993</v>
      </c>
      <c r="E431" s="168">
        <f>SUM(E432:E447)</f>
        <v>550.59999999999991</v>
      </c>
      <c r="F431" s="717"/>
      <c r="G431" s="718"/>
      <c r="H431" s="718"/>
      <c r="I431" s="719"/>
    </row>
    <row r="432" spans="1:9" ht="32.25" customHeight="1">
      <c r="A432" s="865" t="s">
        <v>129</v>
      </c>
      <c r="B432" s="657" t="s">
        <v>486</v>
      </c>
      <c r="C432" s="701" t="s">
        <v>20</v>
      </c>
      <c r="D432" s="703">
        <f>100+16.3+10.9</f>
        <v>127.2</v>
      </c>
      <c r="E432" s="829">
        <f>104+16.3+10.9</f>
        <v>131.19999999999999</v>
      </c>
      <c r="F432" s="381" t="s">
        <v>1163</v>
      </c>
      <c r="G432" s="602">
        <v>1</v>
      </c>
      <c r="H432" s="602">
        <v>1</v>
      </c>
      <c r="I432" s="663" t="s">
        <v>1162</v>
      </c>
    </row>
    <row r="433" spans="1:9" ht="31">
      <c r="A433" s="722"/>
      <c r="B433" s="716"/>
      <c r="C433" s="721"/>
      <c r="D433" s="671"/>
      <c r="E433" s="752"/>
      <c r="F433" s="382" t="s">
        <v>1055</v>
      </c>
      <c r="G433" s="288">
        <v>1</v>
      </c>
      <c r="H433" s="288">
        <v>1</v>
      </c>
      <c r="I433" s="668"/>
    </row>
    <row r="434" spans="1:9" ht="15.5">
      <c r="A434" s="698"/>
      <c r="B434" s="678"/>
      <c r="C434" s="700"/>
      <c r="D434" s="672"/>
      <c r="E434" s="733"/>
      <c r="F434" s="383" t="s">
        <v>1051</v>
      </c>
      <c r="G434" s="316">
        <v>1</v>
      </c>
      <c r="H434" s="316">
        <v>1</v>
      </c>
      <c r="I434" s="669"/>
    </row>
    <row r="435" spans="1:9" ht="30" customHeight="1">
      <c r="A435" s="697" t="s">
        <v>321</v>
      </c>
      <c r="B435" s="677" t="s">
        <v>488</v>
      </c>
      <c r="C435" s="699" t="s">
        <v>20</v>
      </c>
      <c r="D435" s="670">
        <v>12</v>
      </c>
      <c r="E435" s="735">
        <f>1.9+10</f>
        <v>11.9</v>
      </c>
      <c r="F435" s="382" t="s">
        <v>1035</v>
      </c>
      <c r="G435" s="519">
        <v>1</v>
      </c>
      <c r="H435" s="519">
        <v>1</v>
      </c>
      <c r="I435" s="667" t="s">
        <v>1132</v>
      </c>
    </row>
    <row r="436" spans="1:9" ht="19.5" customHeight="1">
      <c r="A436" s="698"/>
      <c r="B436" s="678"/>
      <c r="C436" s="700"/>
      <c r="D436" s="672"/>
      <c r="E436" s="733"/>
      <c r="F436" s="379" t="s">
        <v>1034</v>
      </c>
      <c r="G436" s="519">
        <v>1</v>
      </c>
      <c r="H436" s="519">
        <v>1</v>
      </c>
      <c r="I436" s="669"/>
    </row>
    <row r="437" spans="1:9" ht="22.5" customHeight="1">
      <c r="A437" s="697" t="s">
        <v>450</v>
      </c>
      <c r="B437" s="677" t="s">
        <v>819</v>
      </c>
      <c r="C437" s="274" t="s">
        <v>20</v>
      </c>
      <c r="D437" s="191">
        <v>54</v>
      </c>
      <c r="E437" s="491">
        <v>0</v>
      </c>
      <c r="F437" s="654" t="s">
        <v>820</v>
      </c>
      <c r="G437" s="673">
        <v>1</v>
      </c>
      <c r="H437" s="673">
        <v>0</v>
      </c>
      <c r="I437" s="667" t="s">
        <v>1125</v>
      </c>
    </row>
    <row r="438" spans="1:9" ht="22.5" customHeight="1">
      <c r="A438" s="698"/>
      <c r="B438" s="678"/>
      <c r="C438" s="531" t="s">
        <v>100</v>
      </c>
      <c r="D438" s="566">
        <v>100</v>
      </c>
      <c r="E438" s="492">
        <v>0</v>
      </c>
      <c r="F438" s="655"/>
      <c r="G438" s="674"/>
      <c r="H438" s="674"/>
      <c r="I438" s="669"/>
    </row>
    <row r="439" spans="1:9" ht="35.25" customHeight="1">
      <c r="A439" s="576" t="s">
        <v>487</v>
      </c>
      <c r="B439" s="574" t="s">
        <v>821</v>
      </c>
      <c r="C439" s="606" t="s">
        <v>20</v>
      </c>
      <c r="D439" s="593">
        <v>5</v>
      </c>
      <c r="E439" s="595">
        <v>0</v>
      </c>
      <c r="F439" s="293" t="s">
        <v>822</v>
      </c>
      <c r="G439" s="297">
        <v>1</v>
      </c>
      <c r="H439" s="297">
        <v>0</v>
      </c>
      <c r="I439" s="514" t="s">
        <v>923</v>
      </c>
    </row>
    <row r="440" spans="1:9" ht="28">
      <c r="A440" s="576" t="s">
        <v>823</v>
      </c>
      <c r="B440" s="574" t="s">
        <v>824</v>
      </c>
      <c r="C440" s="606" t="s">
        <v>20</v>
      </c>
      <c r="D440" s="593">
        <v>5.0999999999999996</v>
      </c>
      <c r="E440" s="595">
        <v>2.7</v>
      </c>
      <c r="F440" s="293" t="s">
        <v>1056</v>
      </c>
      <c r="G440" s="297">
        <v>1</v>
      </c>
      <c r="H440" s="297">
        <v>1</v>
      </c>
      <c r="I440" s="514" t="s">
        <v>1063</v>
      </c>
    </row>
    <row r="441" spans="1:9" ht="30.75" customHeight="1">
      <c r="A441" s="697" t="s">
        <v>825</v>
      </c>
      <c r="B441" s="677" t="s">
        <v>826</v>
      </c>
      <c r="C441" s="231" t="s">
        <v>20</v>
      </c>
      <c r="D441" s="232">
        <v>150</v>
      </c>
      <c r="E441" s="232">
        <v>57.3</v>
      </c>
      <c r="F441" s="311" t="s">
        <v>1166</v>
      </c>
      <c r="G441" s="308">
        <v>1</v>
      </c>
      <c r="H441" s="308">
        <v>1</v>
      </c>
      <c r="I441" s="667" t="s">
        <v>1164</v>
      </c>
    </row>
    <row r="442" spans="1:9" ht="26.25" customHeight="1">
      <c r="A442" s="722"/>
      <c r="B442" s="716"/>
      <c r="C442" s="231" t="s">
        <v>100</v>
      </c>
      <c r="D442" s="232">
        <v>17.2</v>
      </c>
      <c r="E442" s="232">
        <v>14.1</v>
      </c>
      <c r="F442" s="654" t="s">
        <v>441</v>
      </c>
      <c r="G442" s="1020">
        <v>100</v>
      </c>
      <c r="H442" s="1020">
        <v>100</v>
      </c>
      <c r="I442" s="668"/>
    </row>
    <row r="443" spans="1:9" ht="26.25" customHeight="1">
      <c r="A443" s="698"/>
      <c r="B443" s="678"/>
      <c r="C443" s="231" t="s">
        <v>67</v>
      </c>
      <c r="D443" s="232">
        <v>97.8</v>
      </c>
      <c r="E443" s="232">
        <v>79.900000000000006</v>
      </c>
      <c r="F443" s="655"/>
      <c r="G443" s="1032"/>
      <c r="H443" s="1032"/>
      <c r="I443" s="669"/>
    </row>
    <row r="444" spans="1:9">
      <c r="A444" s="697" t="s">
        <v>827</v>
      </c>
      <c r="B444" s="677" t="s">
        <v>828</v>
      </c>
      <c r="C444" s="231" t="s">
        <v>20</v>
      </c>
      <c r="D444" s="232">
        <v>59</v>
      </c>
      <c r="E444" s="232">
        <v>130</v>
      </c>
      <c r="F444" s="654" t="s">
        <v>441</v>
      </c>
      <c r="G444" s="1020">
        <v>40</v>
      </c>
      <c r="H444" s="1020">
        <v>40</v>
      </c>
      <c r="I444" s="667" t="s">
        <v>981</v>
      </c>
    </row>
    <row r="445" spans="1:9">
      <c r="A445" s="722"/>
      <c r="B445" s="716"/>
      <c r="C445" s="231" t="s">
        <v>100</v>
      </c>
      <c r="D445" s="232">
        <v>0</v>
      </c>
      <c r="E445" s="232">
        <v>16.5</v>
      </c>
      <c r="F445" s="1019"/>
      <c r="G445" s="1021"/>
      <c r="H445" s="1021"/>
      <c r="I445" s="668"/>
    </row>
    <row r="446" spans="1:9">
      <c r="A446" s="722"/>
      <c r="B446" s="716"/>
      <c r="C446" s="231" t="s">
        <v>335</v>
      </c>
      <c r="D446" s="232">
        <v>20</v>
      </c>
      <c r="E446" s="232">
        <v>47</v>
      </c>
      <c r="F446" s="1019"/>
      <c r="G446" s="1021"/>
      <c r="H446" s="1021"/>
      <c r="I446" s="668"/>
    </row>
    <row r="447" spans="1:9" ht="17.25" customHeight="1" thickBot="1">
      <c r="A447" s="868"/>
      <c r="B447" s="658"/>
      <c r="C447" s="647" t="s">
        <v>67</v>
      </c>
      <c r="D447" s="648">
        <v>88.4</v>
      </c>
      <c r="E447" s="648">
        <v>60</v>
      </c>
      <c r="F447" s="1051"/>
      <c r="G447" s="1022"/>
      <c r="H447" s="1022"/>
      <c r="I447" s="664"/>
    </row>
    <row r="448" spans="1:9" ht="70.5" customHeight="1" thickBot="1">
      <c r="A448" s="114" t="s">
        <v>237</v>
      </c>
      <c r="B448" s="110" t="s">
        <v>829</v>
      </c>
      <c r="C448" s="111"/>
      <c r="D448" s="168">
        <f>SUM(D449:D452)</f>
        <v>1435.5</v>
      </c>
      <c r="E448" s="168">
        <f>SUM(E449:E452)</f>
        <v>365.5</v>
      </c>
      <c r="F448" s="717"/>
      <c r="G448" s="718"/>
      <c r="H448" s="718"/>
      <c r="I448" s="719"/>
    </row>
    <row r="449" spans="1:12" ht="30.75" customHeight="1">
      <c r="A449" s="865" t="s">
        <v>238</v>
      </c>
      <c r="B449" s="657" t="s">
        <v>830</v>
      </c>
      <c r="C449" s="590" t="s">
        <v>20</v>
      </c>
      <c r="D449" s="198">
        <v>10.5</v>
      </c>
      <c r="E449" s="198">
        <v>21</v>
      </c>
      <c r="F449" s="311" t="s">
        <v>831</v>
      </c>
      <c r="G449" s="317">
        <v>2</v>
      </c>
      <c r="H449" s="223">
        <v>2</v>
      </c>
      <c r="I449" s="663" t="s">
        <v>1057</v>
      </c>
    </row>
    <row r="450" spans="1:12" ht="30.75" customHeight="1">
      <c r="A450" s="698"/>
      <c r="B450" s="678"/>
      <c r="C450" s="606" t="s">
        <v>67</v>
      </c>
      <c r="D450" s="568">
        <v>59</v>
      </c>
      <c r="E450" s="568">
        <v>0</v>
      </c>
      <c r="F450" s="313" t="s">
        <v>441</v>
      </c>
      <c r="G450" s="318">
        <v>100</v>
      </c>
      <c r="H450" s="190">
        <v>100</v>
      </c>
      <c r="I450" s="669"/>
    </row>
    <row r="451" spans="1:12" ht="19.5" customHeight="1">
      <c r="A451" s="697" t="s">
        <v>324</v>
      </c>
      <c r="B451" s="677" t="s">
        <v>541</v>
      </c>
      <c r="C451" s="606" t="s">
        <v>20</v>
      </c>
      <c r="D451" s="593">
        <v>200</v>
      </c>
      <c r="E451" s="593">
        <v>0</v>
      </c>
      <c r="F451" s="1019" t="s">
        <v>441</v>
      </c>
      <c r="G451" s="744">
        <v>60</v>
      </c>
      <c r="H451" s="744">
        <v>40</v>
      </c>
      <c r="I451" s="667" t="s">
        <v>567</v>
      </c>
    </row>
    <row r="452" spans="1:12" ht="19.5" customHeight="1" thickBot="1">
      <c r="A452" s="698"/>
      <c r="B452" s="678"/>
      <c r="C452" s="537" t="s">
        <v>100</v>
      </c>
      <c r="D452" s="568">
        <v>1166</v>
      </c>
      <c r="E452" s="568">
        <v>344.5</v>
      </c>
      <c r="F452" s="655"/>
      <c r="G452" s="745"/>
      <c r="H452" s="745"/>
      <c r="I452" s="669"/>
    </row>
    <row r="453" spans="1:12" ht="73.5" customHeight="1" thickBot="1">
      <c r="A453" s="114" t="s">
        <v>137</v>
      </c>
      <c r="B453" s="110" t="s">
        <v>832</v>
      </c>
      <c r="C453" s="111"/>
      <c r="D453" s="168">
        <f>SUM(D454:D461)</f>
        <v>994.39999999999986</v>
      </c>
      <c r="E453" s="168">
        <f>SUM(E454:E461)</f>
        <v>694.3</v>
      </c>
      <c r="F453" s="934"/>
      <c r="G453" s="935"/>
      <c r="H453" s="935"/>
      <c r="I453" s="936"/>
    </row>
    <row r="454" spans="1:12" ht="31.5" customHeight="1">
      <c r="A454" s="841" t="s">
        <v>139</v>
      </c>
      <c r="B454" s="657" t="s">
        <v>833</v>
      </c>
      <c r="C454" s="590" t="s">
        <v>20</v>
      </c>
      <c r="D454" s="592">
        <v>67.400000000000006</v>
      </c>
      <c r="E454" s="594">
        <v>23.5</v>
      </c>
      <c r="F454" s="1042" t="s">
        <v>359</v>
      </c>
      <c r="G454" s="910">
        <v>119</v>
      </c>
      <c r="H454" s="910">
        <v>119</v>
      </c>
      <c r="I454" s="663" t="s">
        <v>921</v>
      </c>
    </row>
    <row r="455" spans="1:12" ht="31.5" customHeight="1">
      <c r="A455" s="827"/>
      <c r="B455" s="716"/>
      <c r="C455" s="537" t="s">
        <v>100</v>
      </c>
      <c r="D455" s="534">
        <v>0</v>
      </c>
      <c r="E455" s="538">
        <v>52.6</v>
      </c>
      <c r="F455" s="1043"/>
      <c r="G455" s="745"/>
      <c r="H455" s="745"/>
      <c r="I455" s="668"/>
      <c r="J455" s="500"/>
      <c r="K455" s="479"/>
      <c r="L455" s="479"/>
    </row>
    <row r="456" spans="1:12" ht="18" customHeight="1">
      <c r="A456" s="676"/>
      <c r="B456" s="678"/>
      <c r="C456" s="537" t="s">
        <v>67</v>
      </c>
      <c r="D456" s="534">
        <v>349.5</v>
      </c>
      <c r="E456" s="538">
        <v>319.39999999999998</v>
      </c>
      <c r="F456" s="400" t="s">
        <v>441</v>
      </c>
      <c r="G456" s="603">
        <v>100</v>
      </c>
      <c r="H456" s="603">
        <v>90</v>
      </c>
      <c r="I456" s="669"/>
      <c r="J456" s="500"/>
      <c r="K456" s="479"/>
      <c r="L456" s="479"/>
    </row>
    <row r="457" spans="1:12" ht="16.5" customHeight="1">
      <c r="A457" s="675" t="s">
        <v>455</v>
      </c>
      <c r="B457" s="677" t="s">
        <v>834</v>
      </c>
      <c r="C457" s="699" t="s">
        <v>20</v>
      </c>
      <c r="D457" s="670">
        <v>20</v>
      </c>
      <c r="E457" s="735">
        <f>10+10</f>
        <v>20</v>
      </c>
      <c r="F457" s="400" t="s">
        <v>835</v>
      </c>
      <c r="G457" s="603">
        <v>400</v>
      </c>
      <c r="H457" s="603">
        <v>100</v>
      </c>
      <c r="I457" s="667" t="s">
        <v>957</v>
      </c>
    </row>
    <row r="458" spans="1:12" ht="30.75" customHeight="1">
      <c r="A458" s="676"/>
      <c r="B458" s="678"/>
      <c r="C458" s="700"/>
      <c r="D458" s="672"/>
      <c r="E458" s="733"/>
      <c r="F458" s="400" t="s">
        <v>1102</v>
      </c>
      <c r="G458" s="603">
        <v>0</v>
      </c>
      <c r="H458" s="603">
        <v>1</v>
      </c>
      <c r="I458" s="669"/>
    </row>
    <row r="459" spans="1:12" ht="28">
      <c r="A459" s="562" t="s">
        <v>456</v>
      </c>
      <c r="B459" s="574" t="s">
        <v>489</v>
      </c>
      <c r="C459" s="274" t="s">
        <v>20</v>
      </c>
      <c r="D459" s="191">
        <v>1.2</v>
      </c>
      <c r="E459" s="595">
        <v>1.2</v>
      </c>
      <c r="F459" s="400" t="s">
        <v>818</v>
      </c>
      <c r="G459" s="603">
        <v>1</v>
      </c>
      <c r="H459" s="603">
        <v>1</v>
      </c>
      <c r="I459" s="177" t="s">
        <v>568</v>
      </c>
      <c r="J459" s="500"/>
      <c r="K459" s="479"/>
      <c r="L459" s="479"/>
    </row>
    <row r="460" spans="1:12" ht="46.5">
      <c r="A460" s="675" t="s">
        <v>836</v>
      </c>
      <c r="B460" s="677" t="s">
        <v>837</v>
      </c>
      <c r="C460" s="606" t="s">
        <v>20</v>
      </c>
      <c r="D460" s="191">
        <v>140</v>
      </c>
      <c r="E460" s="595">
        <v>60.2</v>
      </c>
      <c r="F460" s="401" t="s">
        <v>1040</v>
      </c>
      <c r="G460" s="603">
        <v>1</v>
      </c>
      <c r="H460" s="603">
        <v>1</v>
      </c>
      <c r="I460" s="667" t="s">
        <v>1133</v>
      </c>
    </row>
    <row r="461" spans="1:12" ht="22.5" customHeight="1" thickBot="1">
      <c r="A461" s="691"/>
      <c r="B461" s="658"/>
      <c r="C461" s="543" t="s">
        <v>67</v>
      </c>
      <c r="D461" s="567">
        <v>416.3</v>
      </c>
      <c r="E461" s="524">
        <v>217.4</v>
      </c>
      <c r="F461" s="402" t="s">
        <v>441</v>
      </c>
      <c r="G461" s="513">
        <v>100</v>
      </c>
      <c r="H461" s="513">
        <v>80</v>
      </c>
      <c r="I461" s="664"/>
      <c r="J461" s="500"/>
      <c r="K461" s="500"/>
      <c r="L461" s="500"/>
    </row>
    <row r="462" spans="1:12" ht="88.5" customHeight="1" thickBot="1">
      <c r="A462" s="114" t="s">
        <v>239</v>
      </c>
      <c r="B462" s="110" t="s">
        <v>838</v>
      </c>
      <c r="C462" s="111"/>
      <c r="D462" s="168">
        <f>SUM(D463:D468)</f>
        <v>400.1</v>
      </c>
      <c r="E462" s="168">
        <f>SUM(E463:E468)</f>
        <v>395.2</v>
      </c>
      <c r="F462" s="717"/>
      <c r="G462" s="718"/>
      <c r="H462" s="718"/>
      <c r="I462" s="719"/>
      <c r="J462" s="500"/>
      <c r="K462" s="479"/>
      <c r="L462" s="479"/>
    </row>
    <row r="463" spans="1:12" ht="16.5" customHeight="1">
      <c r="A463" s="841" t="s">
        <v>142</v>
      </c>
      <c r="B463" s="657" t="s">
        <v>839</v>
      </c>
      <c r="C463" s="997" t="s">
        <v>20</v>
      </c>
      <c r="D463" s="829">
        <f>80+15+5</f>
        <v>100</v>
      </c>
      <c r="E463" s="829">
        <f>76+14.1+5</f>
        <v>95.1</v>
      </c>
      <c r="F463" s="386" t="s">
        <v>840</v>
      </c>
      <c r="G463" s="223">
        <v>1</v>
      </c>
      <c r="H463" s="223">
        <v>1</v>
      </c>
      <c r="I463" s="663" t="s">
        <v>569</v>
      </c>
      <c r="J463" s="500"/>
      <c r="K463" s="479"/>
      <c r="L463" s="479"/>
    </row>
    <row r="464" spans="1:12" ht="15.5">
      <c r="A464" s="827"/>
      <c r="B464" s="716"/>
      <c r="C464" s="850"/>
      <c r="D464" s="733"/>
      <c r="E464" s="733"/>
      <c r="F464" s="387" t="s">
        <v>841</v>
      </c>
      <c r="G464" s="190">
        <v>1</v>
      </c>
      <c r="H464" s="190">
        <v>1</v>
      </c>
      <c r="I464" s="668"/>
      <c r="J464" s="500"/>
      <c r="K464" s="479"/>
      <c r="L464" s="479"/>
    </row>
    <row r="465" spans="1:13" ht="16.5" customHeight="1">
      <c r="A465" s="827"/>
      <c r="B465" s="678"/>
      <c r="C465" s="542" t="s">
        <v>22</v>
      </c>
      <c r="D465" s="243">
        <v>20.100000000000001</v>
      </c>
      <c r="E465" s="243">
        <v>20.100000000000001</v>
      </c>
      <c r="F465" s="387" t="s">
        <v>818</v>
      </c>
      <c r="G465" s="190">
        <v>1</v>
      </c>
      <c r="H465" s="190">
        <v>1</v>
      </c>
      <c r="I465" s="668"/>
      <c r="J465" s="500"/>
      <c r="K465" s="479"/>
      <c r="L465" s="479"/>
    </row>
    <row r="466" spans="1:13" ht="46.5" customHeight="1">
      <c r="A466" s="562" t="s">
        <v>842</v>
      </c>
      <c r="B466" s="574" t="s">
        <v>843</v>
      </c>
      <c r="C466" s="346" t="s">
        <v>20</v>
      </c>
      <c r="D466" s="228">
        <v>80</v>
      </c>
      <c r="E466" s="595">
        <v>80</v>
      </c>
      <c r="F466" s="388" t="s">
        <v>1103</v>
      </c>
      <c r="G466" s="603">
        <v>1</v>
      </c>
      <c r="H466" s="603">
        <v>1</v>
      </c>
      <c r="I466" s="177" t="s">
        <v>1078</v>
      </c>
      <c r="J466" s="500"/>
      <c r="K466" s="479"/>
      <c r="L466" s="479"/>
    </row>
    <row r="467" spans="1:13" ht="33.75" customHeight="1">
      <c r="A467" s="675" t="s">
        <v>844</v>
      </c>
      <c r="B467" s="677" t="s">
        <v>845</v>
      </c>
      <c r="C467" s="591" t="s">
        <v>20</v>
      </c>
      <c r="D467" s="228">
        <v>30</v>
      </c>
      <c r="E467" s="228">
        <v>30</v>
      </c>
      <c r="F467" s="384" t="s">
        <v>1059</v>
      </c>
      <c r="G467" s="603">
        <v>1</v>
      </c>
      <c r="H467" s="603">
        <v>1</v>
      </c>
      <c r="I467" s="667" t="s">
        <v>1079</v>
      </c>
    </row>
    <row r="468" spans="1:13" ht="33" customHeight="1" thickBot="1">
      <c r="A468" s="691"/>
      <c r="B468" s="658"/>
      <c r="C468" s="323" t="s">
        <v>100</v>
      </c>
      <c r="D468" s="229">
        <v>170</v>
      </c>
      <c r="E468" s="229">
        <v>170</v>
      </c>
      <c r="F468" s="385" t="s">
        <v>441</v>
      </c>
      <c r="G468" s="604">
        <v>100</v>
      </c>
      <c r="H468" s="604">
        <v>100</v>
      </c>
      <c r="I468" s="664"/>
      <c r="J468" s="500"/>
      <c r="K468" s="479"/>
      <c r="L468" s="479"/>
    </row>
    <row r="469" spans="1:13" ht="33.75" customHeight="1" thickBot="1">
      <c r="A469" s="114" t="s">
        <v>361</v>
      </c>
      <c r="B469" s="110" t="s">
        <v>846</v>
      </c>
      <c r="C469" s="111"/>
      <c r="D469" s="168">
        <f>SUM(D470:D471)</f>
        <v>27.7</v>
      </c>
      <c r="E469" s="168">
        <f>SUM(E470:E473)</f>
        <v>53.1</v>
      </c>
      <c r="F469" s="717"/>
      <c r="G469" s="718"/>
      <c r="H469" s="718"/>
      <c r="I469" s="719"/>
      <c r="J469" s="480"/>
      <c r="K469" s="474"/>
      <c r="L469" s="474"/>
    </row>
    <row r="470" spans="1:13" ht="33" customHeight="1">
      <c r="A470" s="389" t="s">
        <v>328</v>
      </c>
      <c r="B470" s="391" t="s">
        <v>847</v>
      </c>
      <c r="C470" s="262" t="s">
        <v>20</v>
      </c>
      <c r="D470" s="263">
        <v>9.5</v>
      </c>
      <c r="E470" s="264">
        <v>9.4</v>
      </c>
      <c r="F470" s="649" t="s">
        <v>848</v>
      </c>
      <c r="G470" s="602">
        <v>100</v>
      </c>
      <c r="H470" s="602">
        <v>100</v>
      </c>
      <c r="I470" s="407" t="s">
        <v>1039</v>
      </c>
      <c r="J470" s="500"/>
      <c r="K470" s="479"/>
      <c r="L470" s="479"/>
    </row>
    <row r="471" spans="1:13" ht="33" customHeight="1">
      <c r="A471" s="390" t="s">
        <v>849</v>
      </c>
      <c r="B471" s="249" t="s">
        <v>850</v>
      </c>
      <c r="C471" s="231" t="s">
        <v>20</v>
      </c>
      <c r="D471" s="232">
        <v>18.2</v>
      </c>
      <c r="E471" s="233">
        <v>17.7</v>
      </c>
      <c r="F471" s="319" t="s">
        <v>818</v>
      </c>
      <c r="G471" s="603">
        <v>1</v>
      </c>
      <c r="H471" s="603">
        <v>1</v>
      </c>
      <c r="I471" s="421" t="s">
        <v>1080</v>
      </c>
    </row>
    <row r="472" spans="1:13" ht="45.75" customHeight="1">
      <c r="A472" s="390" t="s">
        <v>926</v>
      </c>
      <c r="B472" s="249" t="s">
        <v>928</v>
      </c>
      <c r="C472" s="415" t="s">
        <v>20</v>
      </c>
      <c r="D472" s="416">
        <v>0</v>
      </c>
      <c r="E472" s="417">
        <v>22</v>
      </c>
      <c r="F472" s="388" t="s">
        <v>1105</v>
      </c>
      <c r="G472" s="603">
        <v>0</v>
      </c>
      <c r="H472" s="603">
        <v>1</v>
      </c>
      <c r="I472" s="498" t="s">
        <v>1104</v>
      </c>
      <c r="J472" s="500"/>
      <c r="K472" s="479"/>
      <c r="L472" s="479"/>
      <c r="M472" s="479"/>
    </row>
    <row r="473" spans="1:13" ht="42.5" thickBot="1">
      <c r="A473" s="411" t="s">
        <v>927</v>
      </c>
      <c r="B473" s="337" t="s">
        <v>929</v>
      </c>
      <c r="C473" s="412" t="s">
        <v>20</v>
      </c>
      <c r="D473" s="413">
        <v>0</v>
      </c>
      <c r="E473" s="414">
        <v>4</v>
      </c>
      <c r="F473" s="418" t="s">
        <v>1038</v>
      </c>
      <c r="G473" s="513">
        <v>0</v>
      </c>
      <c r="H473" s="513">
        <v>1</v>
      </c>
      <c r="I473" s="451" t="s">
        <v>1134</v>
      </c>
      <c r="J473" s="499"/>
      <c r="K473" s="493"/>
      <c r="L473" s="493"/>
    </row>
    <row r="474" spans="1:13" ht="28.5" thickBot="1">
      <c r="A474" s="114" t="s">
        <v>490</v>
      </c>
      <c r="B474" s="110" t="s">
        <v>851</v>
      </c>
      <c r="C474" s="111"/>
      <c r="D474" s="168">
        <f>SUM(D475:D478)</f>
        <v>218.8</v>
      </c>
      <c r="E474" s="168">
        <f>SUM(E475:E478)</f>
        <v>224.10000000000002</v>
      </c>
      <c r="F474" s="717"/>
      <c r="G474" s="718"/>
      <c r="H474" s="718"/>
      <c r="I474" s="719"/>
      <c r="J474" s="499"/>
      <c r="K474" s="493"/>
      <c r="L474" s="493"/>
    </row>
    <row r="475" spans="1:13" ht="50.25" customHeight="1">
      <c r="A475" s="560" t="s">
        <v>491</v>
      </c>
      <c r="B475" s="539" t="s">
        <v>240</v>
      </c>
      <c r="C475" s="561" t="s">
        <v>20</v>
      </c>
      <c r="D475" s="546">
        <v>20</v>
      </c>
      <c r="E475" s="546">
        <v>40.799999999999997</v>
      </c>
      <c r="F475" s="260" t="s">
        <v>495</v>
      </c>
      <c r="G475" s="503">
        <v>10</v>
      </c>
      <c r="H475" s="503">
        <v>20</v>
      </c>
      <c r="I475" s="510" t="s">
        <v>916</v>
      </c>
      <c r="J475" s="499"/>
      <c r="K475" s="493"/>
      <c r="L475" s="493"/>
    </row>
    <row r="476" spans="1:13" ht="36" customHeight="1">
      <c r="A476" s="562" t="s">
        <v>492</v>
      </c>
      <c r="B476" s="574" t="s">
        <v>496</v>
      </c>
      <c r="C476" s="346" t="s">
        <v>20</v>
      </c>
      <c r="D476" s="228">
        <v>20</v>
      </c>
      <c r="E476" s="595">
        <v>18.5</v>
      </c>
      <c r="F476" s="322" t="s">
        <v>241</v>
      </c>
      <c r="G476" s="603">
        <v>3</v>
      </c>
      <c r="H476" s="603">
        <v>4</v>
      </c>
      <c r="I476" s="177" t="s">
        <v>1106</v>
      </c>
      <c r="J476" s="499"/>
      <c r="K476" s="499"/>
      <c r="L476" s="499"/>
      <c r="M476" s="499"/>
    </row>
    <row r="477" spans="1:13" ht="48" customHeight="1">
      <c r="A477" s="562" t="s">
        <v>493</v>
      </c>
      <c r="B477" s="530" t="s">
        <v>497</v>
      </c>
      <c r="C477" s="321" t="s">
        <v>20</v>
      </c>
      <c r="D477" s="243">
        <v>40</v>
      </c>
      <c r="E477" s="538">
        <v>48.1</v>
      </c>
      <c r="F477" s="322" t="s">
        <v>852</v>
      </c>
      <c r="G477" s="503">
        <v>2</v>
      </c>
      <c r="H477" s="503">
        <v>2</v>
      </c>
      <c r="I477" s="177" t="s">
        <v>918</v>
      </c>
    </row>
    <row r="478" spans="1:13" ht="48.75" customHeight="1" thickBot="1">
      <c r="A478" s="551" t="s">
        <v>494</v>
      </c>
      <c r="B478" s="528" t="s">
        <v>853</v>
      </c>
      <c r="C478" s="321" t="s">
        <v>22</v>
      </c>
      <c r="D478" s="243">
        <v>138.80000000000001</v>
      </c>
      <c r="E478" s="538">
        <v>116.7</v>
      </c>
      <c r="F478" s="376" t="s">
        <v>1167</v>
      </c>
      <c r="G478" s="511">
        <v>15</v>
      </c>
      <c r="H478" s="511">
        <v>48</v>
      </c>
      <c r="I478" s="578" t="s">
        <v>1081</v>
      </c>
    </row>
    <row r="479" spans="1:13" ht="32.25" customHeight="1" thickBot="1">
      <c r="A479" s="113" t="s">
        <v>34</v>
      </c>
      <c r="B479" s="116" t="s">
        <v>362</v>
      </c>
      <c r="C479" s="117"/>
      <c r="D479" s="170">
        <f>D480</f>
        <v>810</v>
      </c>
      <c r="E479" s="170">
        <f>E480</f>
        <v>138.80000000000001</v>
      </c>
      <c r="F479" s="918"/>
      <c r="G479" s="919"/>
      <c r="H479" s="919"/>
      <c r="I479" s="920"/>
    </row>
    <row r="480" spans="1:13" ht="44.25" customHeight="1" thickBot="1">
      <c r="A480" s="374" t="s">
        <v>36</v>
      </c>
      <c r="B480" s="392" t="s">
        <v>854</v>
      </c>
      <c r="C480" s="393"/>
      <c r="D480" s="394">
        <f>SUM(D481:D484)</f>
        <v>810</v>
      </c>
      <c r="E480" s="394">
        <f>SUM(E481:E484)</f>
        <v>138.80000000000001</v>
      </c>
      <c r="F480" s="943"/>
      <c r="G480" s="935"/>
      <c r="H480" s="935"/>
      <c r="I480" s="936"/>
    </row>
    <row r="481" spans="1:14">
      <c r="A481" s="841" t="s">
        <v>38</v>
      </c>
      <c r="B481" s="657" t="s">
        <v>855</v>
      </c>
      <c r="C481" s="590" t="s">
        <v>20</v>
      </c>
      <c r="D481" s="592">
        <v>5</v>
      </c>
      <c r="E481" s="236">
        <v>2.8</v>
      </c>
      <c r="F481" s="941" t="s">
        <v>363</v>
      </c>
      <c r="G481" s="910">
        <v>10</v>
      </c>
      <c r="H481" s="910">
        <v>11</v>
      </c>
      <c r="I481" s="663" t="s">
        <v>1037</v>
      </c>
      <c r="J481" s="480"/>
      <c r="K481" s="474"/>
      <c r="L481" s="474"/>
      <c r="M481" s="474"/>
    </row>
    <row r="482" spans="1:14" ht="69.75" customHeight="1">
      <c r="A482" s="676"/>
      <c r="B482" s="678"/>
      <c r="C482" s="537" t="s">
        <v>100</v>
      </c>
      <c r="D482" s="534">
        <v>750</v>
      </c>
      <c r="E482" s="245">
        <v>20.6</v>
      </c>
      <c r="F482" s="942"/>
      <c r="G482" s="745"/>
      <c r="H482" s="745"/>
      <c r="I482" s="669"/>
      <c r="J482" s="480"/>
      <c r="K482" s="474"/>
      <c r="L482" s="474"/>
      <c r="M482" s="474"/>
    </row>
    <row r="483" spans="1:14" ht="52.5" customHeight="1">
      <c r="A483" s="559" t="s">
        <v>39</v>
      </c>
      <c r="B483" s="565" t="s">
        <v>498</v>
      </c>
      <c r="C483" s="537" t="s">
        <v>20</v>
      </c>
      <c r="D483" s="534">
        <v>50</v>
      </c>
      <c r="E483" s="245">
        <v>115</v>
      </c>
      <c r="F483" s="324" t="s">
        <v>364</v>
      </c>
      <c r="G483" s="503">
        <v>8</v>
      </c>
      <c r="H483" s="503">
        <v>90</v>
      </c>
      <c r="I483" s="509" t="s">
        <v>919</v>
      </c>
    </row>
    <row r="484" spans="1:14" ht="55.5" customHeight="1" thickBot="1">
      <c r="A484" s="551" t="s">
        <v>40</v>
      </c>
      <c r="B484" s="563" t="s">
        <v>499</v>
      </c>
      <c r="C484" s="535" t="s">
        <v>20</v>
      </c>
      <c r="D484" s="533">
        <v>5</v>
      </c>
      <c r="E484" s="259">
        <v>0.4</v>
      </c>
      <c r="F484" s="325" t="s">
        <v>500</v>
      </c>
      <c r="G484" s="604">
        <v>4</v>
      </c>
      <c r="H484" s="604">
        <v>3</v>
      </c>
      <c r="I484" s="521" t="s">
        <v>242</v>
      </c>
    </row>
    <row r="485" spans="1:14" ht="45" customHeight="1" thickBot="1">
      <c r="A485" s="113" t="s">
        <v>68</v>
      </c>
      <c r="B485" s="116" t="s">
        <v>856</v>
      </c>
      <c r="C485" s="117"/>
      <c r="D485" s="170">
        <f>D486+D491</f>
        <v>1236</v>
      </c>
      <c r="E485" s="170">
        <f>E486+E491</f>
        <v>1210.3</v>
      </c>
      <c r="F485" s="918"/>
      <c r="G485" s="919"/>
      <c r="H485" s="919"/>
      <c r="I485" s="920"/>
    </row>
    <row r="486" spans="1:14" ht="45" customHeight="1" thickBot="1">
      <c r="A486" s="114" t="s">
        <v>70</v>
      </c>
      <c r="B486" s="110" t="s">
        <v>857</v>
      </c>
      <c r="C486" s="395"/>
      <c r="D486" s="396">
        <f>SUM(D487:D490)</f>
        <v>500</v>
      </c>
      <c r="E486" s="396">
        <f>SUM(E487:E490)</f>
        <v>349.3</v>
      </c>
      <c r="F486" s="940"/>
      <c r="G486" s="718"/>
      <c r="H486" s="718"/>
      <c r="I486" s="719"/>
      <c r="J486" s="476"/>
      <c r="K486" s="476"/>
      <c r="L486" s="476"/>
      <c r="M486" s="457"/>
      <c r="N486" s="457"/>
    </row>
    <row r="487" spans="1:14" ht="41.25" customHeight="1">
      <c r="A487" s="375" t="s">
        <v>71</v>
      </c>
      <c r="B487" s="589" t="s">
        <v>858</v>
      </c>
      <c r="C487" s="273" t="s">
        <v>20</v>
      </c>
      <c r="D487" s="592">
        <v>190</v>
      </c>
      <c r="E487" s="594">
        <v>190</v>
      </c>
      <c r="F487" s="397" t="s">
        <v>1098</v>
      </c>
      <c r="G487" s="602">
        <v>1</v>
      </c>
      <c r="H487" s="602">
        <v>1</v>
      </c>
      <c r="I487" s="583" t="s">
        <v>1082</v>
      </c>
    </row>
    <row r="488" spans="1:14" ht="41.25" customHeight="1">
      <c r="A488" s="562" t="s">
        <v>73</v>
      </c>
      <c r="B488" s="574" t="s">
        <v>859</v>
      </c>
      <c r="C488" s="274" t="s">
        <v>20</v>
      </c>
      <c r="D488" s="593">
        <v>100</v>
      </c>
      <c r="E488" s="595">
        <v>1.4</v>
      </c>
      <c r="F488" s="626" t="s">
        <v>1099</v>
      </c>
      <c r="G488" s="603">
        <v>1</v>
      </c>
      <c r="H488" s="603">
        <v>1</v>
      </c>
      <c r="I488" s="514" t="s">
        <v>958</v>
      </c>
      <c r="J488" s="500"/>
      <c r="K488" s="479"/>
      <c r="L488" s="479"/>
      <c r="M488" s="479"/>
    </row>
    <row r="489" spans="1:14" ht="54" customHeight="1">
      <c r="A489" s="675" t="s">
        <v>74</v>
      </c>
      <c r="B489" s="677" t="s">
        <v>860</v>
      </c>
      <c r="C489" s="274" t="s">
        <v>20</v>
      </c>
      <c r="D489" s="191">
        <v>61.5</v>
      </c>
      <c r="E489" s="595">
        <v>26.1</v>
      </c>
      <c r="F489" s="627" t="s">
        <v>861</v>
      </c>
      <c r="G489" s="603">
        <v>5</v>
      </c>
      <c r="H489" s="603">
        <v>5</v>
      </c>
      <c r="I489" s="667" t="s">
        <v>1064</v>
      </c>
    </row>
    <row r="490" spans="1:14" ht="72.75" customHeight="1" thickBot="1">
      <c r="A490" s="691"/>
      <c r="B490" s="658"/>
      <c r="C490" s="285" t="s">
        <v>67</v>
      </c>
      <c r="D490" s="286">
        <v>148.5</v>
      </c>
      <c r="E490" s="524">
        <v>131.80000000000001</v>
      </c>
      <c r="F490" s="628" t="s">
        <v>441</v>
      </c>
      <c r="G490" s="513">
        <v>100</v>
      </c>
      <c r="H490" s="513">
        <v>100</v>
      </c>
      <c r="I490" s="664"/>
    </row>
    <row r="491" spans="1:14" ht="32.25" customHeight="1" thickBot="1">
      <c r="A491" s="114" t="s">
        <v>75</v>
      </c>
      <c r="B491" s="110" t="s">
        <v>862</v>
      </c>
      <c r="C491" s="395"/>
      <c r="D491" s="396">
        <f>SUM(D492:D494)</f>
        <v>736</v>
      </c>
      <c r="E491" s="396">
        <f>SUM(E492:E494)</f>
        <v>861</v>
      </c>
      <c r="F491" s="940"/>
      <c r="G491" s="718"/>
      <c r="H491" s="718"/>
      <c r="I491" s="719"/>
    </row>
    <row r="492" spans="1:14" ht="27" customHeight="1">
      <c r="A492" s="675" t="s">
        <v>77</v>
      </c>
      <c r="B492" s="677" t="s">
        <v>863</v>
      </c>
      <c r="C492" s="274" t="s">
        <v>20</v>
      </c>
      <c r="D492" s="191">
        <v>55.2</v>
      </c>
      <c r="E492" s="595">
        <v>108.5</v>
      </c>
      <c r="F492" s="916" t="s">
        <v>864</v>
      </c>
      <c r="G492" s="910">
        <v>70</v>
      </c>
      <c r="H492" s="910">
        <v>0</v>
      </c>
      <c r="I492" s="667" t="s">
        <v>922</v>
      </c>
    </row>
    <row r="493" spans="1:14" ht="27" customHeight="1">
      <c r="A493" s="827"/>
      <c r="B493" s="716"/>
      <c r="C493" s="606" t="s">
        <v>100</v>
      </c>
      <c r="D493" s="191">
        <v>0</v>
      </c>
      <c r="E493" s="595">
        <v>54.1</v>
      </c>
      <c r="F493" s="917"/>
      <c r="G493" s="745"/>
      <c r="H493" s="745"/>
      <c r="I493" s="668"/>
    </row>
    <row r="494" spans="1:14" ht="27" customHeight="1" thickBot="1">
      <c r="A494" s="691"/>
      <c r="B494" s="658"/>
      <c r="C494" s="543" t="s">
        <v>67</v>
      </c>
      <c r="D494" s="567">
        <v>680.8</v>
      </c>
      <c r="E494" s="524">
        <v>698.4</v>
      </c>
      <c r="F494" s="472" t="s">
        <v>441</v>
      </c>
      <c r="G494" s="513">
        <v>70</v>
      </c>
      <c r="H494" s="513">
        <v>70</v>
      </c>
      <c r="I494" s="664"/>
    </row>
    <row r="495" spans="1:14" ht="39" customHeight="1" thickBot="1">
      <c r="A495" s="107" t="s">
        <v>349</v>
      </c>
      <c r="B495" s="94" t="s">
        <v>243</v>
      </c>
      <c r="C495" s="95"/>
      <c r="D495" s="575">
        <f>D496</f>
        <v>5338.3</v>
      </c>
      <c r="E495" s="575">
        <f>E496</f>
        <v>5564.3</v>
      </c>
      <c r="F495" s="944"/>
      <c r="G495" s="802"/>
      <c r="H495" s="802"/>
      <c r="I495" s="803"/>
    </row>
    <row r="496" spans="1:14" ht="36" customHeight="1" thickBot="1">
      <c r="A496" s="494" t="s">
        <v>244</v>
      </c>
      <c r="B496" s="495" t="s">
        <v>245</v>
      </c>
      <c r="C496" s="496"/>
      <c r="D496" s="497">
        <f>D497+D519+D548+D563+D567+D571+D578</f>
        <v>5338.3</v>
      </c>
      <c r="E496" s="497">
        <f>E497+E519+E548+E563+E567+E571+E578</f>
        <v>5564.3</v>
      </c>
      <c r="F496" s="945"/>
      <c r="G496" s="946"/>
      <c r="H496" s="946"/>
      <c r="I496" s="947"/>
    </row>
    <row r="497" spans="1:12" ht="38.25" customHeight="1" thickBot="1">
      <c r="A497" s="120" t="s">
        <v>12</v>
      </c>
      <c r="B497" s="121" t="s">
        <v>501</v>
      </c>
      <c r="C497" s="122"/>
      <c r="D497" s="171">
        <f>D498</f>
        <v>3618.6</v>
      </c>
      <c r="E497" s="171">
        <f>E498</f>
        <v>3427</v>
      </c>
      <c r="F497" s="948"/>
      <c r="G497" s="949"/>
      <c r="H497" s="949"/>
      <c r="I497" s="950"/>
    </row>
    <row r="498" spans="1:12" ht="46.5" customHeight="1" thickBot="1">
      <c r="A498" s="123" t="s">
        <v>161</v>
      </c>
      <c r="B498" s="118" t="s">
        <v>865</v>
      </c>
      <c r="C498" s="119"/>
      <c r="D498" s="172">
        <f>SUM(D499:D518)</f>
        <v>3618.6</v>
      </c>
      <c r="E498" s="172">
        <f>SUM(E499:E518)</f>
        <v>3427</v>
      </c>
      <c r="F498" s="951"/>
      <c r="G498" s="952"/>
      <c r="H498" s="952"/>
      <c r="I498" s="953"/>
    </row>
    <row r="499" spans="1:12" ht="17.25" customHeight="1">
      <c r="A499" s="865" t="s">
        <v>162</v>
      </c>
      <c r="B499" s="657" t="s">
        <v>246</v>
      </c>
      <c r="C499" s="701" t="s">
        <v>20</v>
      </c>
      <c r="D499" s="703">
        <v>326.2</v>
      </c>
      <c r="E499" s="829">
        <v>325.5</v>
      </c>
      <c r="F499" s="230" t="s">
        <v>365</v>
      </c>
      <c r="G499" s="602">
        <v>25</v>
      </c>
      <c r="H499" s="602">
        <v>25</v>
      </c>
      <c r="I499" s="663" t="s">
        <v>248</v>
      </c>
      <c r="J499" s="471"/>
      <c r="K499" s="471"/>
      <c r="L499" s="471"/>
    </row>
    <row r="500" spans="1:12" ht="17.25" customHeight="1">
      <c r="A500" s="698"/>
      <c r="B500" s="678"/>
      <c r="C500" s="700"/>
      <c r="D500" s="672"/>
      <c r="E500" s="733"/>
      <c r="F500" s="204" t="s">
        <v>247</v>
      </c>
      <c r="G500" s="503">
        <v>251</v>
      </c>
      <c r="H500" s="503">
        <v>267</v>
      </c>
      <c r="I500" s="669"/>
      <c r="J500" s="471"/>
      <c r="K500" s="471"/>
      <c r="L500" s="471"/>
    </row>
    <row r="501" spans="1:12" ht="15.75" customHeight="1">
      <c r="A501" s="697" t="s">
        <v>170</v>
      </c>
      <c r="B501" s="677" t="s">
        <v>249</v>
      </c>
      <c r="C501" s="699" t="s">
        <v>20</v>
      </c>
      <c r="D501" s="670">
        <v>78.2</v>
      </c>
      <c r="E501" s="735">
        <v>70.400000000000006</v>
      </c>
      <c r="F501" s="326" t="s">
        <v>250</v>
      </c>
      <c r="G501" s="503">
        <v>3</v>
      </c>
      <c r="H501" s="503">
        <v>3</v>
      </c>
      <c r="I501" s="667" t="s">
        <v>251</v>
      </c>
      <c r="J501" s="476"/>
      <c r="K501" s="457"/>
      <c r="L501" s="457"/>
    </row>
    <row r="502" spans="1:12" ht="15.75" customHeight="1">
      <c r="A502" s="722"/>
      <c r="B502" s="716"/>
      <c r="C502" s="721"/>
      <c r="D502" s="671"/>
      <c r="E502" s="752"/>
      <c r="F502" s="327" t="s">
        <v>366</v>
      </c>
      <c r="G502" s="503">
        <v>80</v>
      </c>
      <c r="H502" s="503">
        <v>96</v>
      </c>
      <c r="I502" s="668"/>
    </row>
    <row r="503" spans="1:12" ht="28.5" customHeight="1">
      <c r="A503" s="698"/>
      <c r="B503" s="678"/>
      <c r="C503" s="700"/>
      <c r="D503" s="672"/>
      <c r="E503" s="733"/>
      <c r="F503" s="328" t="s">
        <v>502</v>
      </c>
      <c r="G503" s="503">
        <v>50</v>
      </c>
      <c r="H503" s="503">
        <v>50</v>
      </c>
      <c r="I503" s="669"/>
    </row>
    <row r="504" spans="1:12" ht="27.75" customHeight="1">
      <c r="A504" s="1007" t="s">
        <v>23</v>
      </c>
      <c r="B504" s="1008" t="s">
        <v>252</v>
      </c>
      <c r="C504" s="699" t="s">
        <v>20</v>
      </c>
      <c r="D504" s="670">
        <v>2797.8</v>
      </c>
      <c r="E504" s="735">
        <f>3045.3-244.6-10.4</f>
        <v>2790.3</v>
      </c>
      <c r="F504" s="329" t="s">
        <v>503</v>
      </c>
      <c r="G504" s="603">
        <v>72</v>
      </c>
      <c r="H504" s="603">
        <v>78</v>
      </c>
      <c r="I504" s="753" t="s">
        <v>253</v>
      </c>
    </row>
    <row r="505" spans="1:12" ht="30.75" customHeight="1">
      <c r="A505" s="1007"/>
      <c r="B505" s="1008"/>
      <c r="C505" s="850"/>
      <c r="D505" s="733"/>
      <c r="E505" s="733"/>
      <c r="F505" s="291" t="s">
        <v>254</v>
      </c>
      <c r="G505" s="603">
        <v>5</v>
      </c>
      <c r="H505" s="603">
        <v>5</v>
      </c>
      <c r="I505" s="753"/>
      <c r="J505" s="476"/>
      <c r="K505" s="457"/>
      <c r="L505" s="457"/>
    </row>
    <row r="506" spans="1:12" ht="28">
      <c r="A506" s="1007"/>
      <c r="B506" s="1008"/>
      <c r="C506" s="699" t="s">
        <v>22</v>
      </c>
      <c r="D506" s="670">
        <v>33.700000000000003</v>
      </c>
      <c r="E506" s="735">
        <v>10.4</v>
      </c>
      <c r="F506" s="330" t="s">
        <v>504</v>
      </c>
      <c r="G506" s="603">
        <v>100</v>
      </c>
      <c r="H506" s="603">
        <v>100</v>
      </c>
      <c r="I506" s="753"/>
    </row>
    <row r="507" spans="1:12" ht="28">
      <c r="A507" s="1007"/>
      <c r="B507" s="1008"/>
      <c r="C507" s="754"/>
      <c r="D507" s="752"/>
      <c r="E507" s="752"/>
      <c r="F507" s="291" t="s">
        <v>255</v>
      </c>
      <c r="G507" s="603">
        <v>0</v>
      </c>
      <c r="H507" s="603">
        <v>0</v>
      </c>
      <c r="I507" s="753"/>
    </row>
    <row r="508" spans="1:12" ht="42">
      <c r="A508" s="576" t="s">
        <v>194</v>
      </c>
      <c r="B508" s="574" t="s">
        <v>866</v>
      </c>
      <c r="C508" s="606" t="s">
        <v>20</v>
      </c>
      <c r="D508" s="593">
        <v>10</v>
      </c>
      <c r="E508" s="595">
        <v>9.1999999999999993</v>
      </c>
      <c r="F508" s="204" t="s">
        <v>1030</v>
      </c>
      <c r="G508" s="603">
        <v>100</v>
      </c>
      <c r="H508" s="603">
        <v>14</v>
      </c>
      <c r="I508" s="514" t="s">
        <v>1031</v>
      </c>
    </row>
    <row r="509" spans="1:12" ht="28">
      <c r="A509" s="697" t="s">
        <v>195</v>
      </c>
      <c r="B509" s="677" t="s">
        <v>256</v>
      </c>
      <c r="C509" s="699" t="s">
        <v>20</v>
      </c>
      <c r="D509" s="670">
        <v>73</v>
      </c>
      <c r="E509" s="670">
        <v>59</v>
      </c>
      <c r="F509" s="331" t="s">
        <v>367</v>
      </c>
      <c r="G509" s="603">
        <v>1</v>
      </c>
      <c r="H509" s="603">
        <v>1</v>
      </c>
      <c r="I509" s="667" t="s">
        <v>257</v>
      </c>
      <c r="J509" s="476"/>
      <c r="K509" s="457"/>
      <c r="L509" s="457"/>
    </row>
    <row r="510" spans="1:12" ht="28">
      <c r="A510" s="722"/>
      <c r="B510" s="716"/>
      <c r="C510" s="721"/>
      <c r="D510" s="671"/>
      <c r="E510" s="671"/>
      <c r="F510" s="298" t="s">
        <v>368</v>
      </c>
      <c r="G510" s="603">
        <v>1</v>
      </c>
      <c r="H510" s="603">
        <v>1</v>
      </c>
      <c r="I510" s="668"/>
    </row>
    <row r="511" spans="1:12" ht="28">
      <c r="A511" s="722"/>
      <c r="B511" s="716"/>
      <c r="C511" s="721"/>
      <c r="D511" s="671"/>
      <c r="E511" s="671"/>
      <c r="F511" s="298" t="s">
        <v>369</v>
      </c>
      <c r="G511" s="603">
        <v>1</v>
      </c>
      <c r="H511" s="603">
        <v>1</v>
      </c>
      <c r="I511" s="668"/>
    </row>
    <row r="512" spans="1:12" ht="28">
      <c r="A512" s="722"/>
      <c r="B512" s="716"/>
      <c r="C512" s="721"/>
      <c r="D512" s="671"/>
      <c r="E512" s="671"/>
      <c r="F512" s="298" t="s">
        <v>370</v>
      </c>
      <c r="G512" s="603">
        <v>1</v>
      </c>
      <c r="H512" s="603">
        <v>1</v>
      </c>
      <c r="I512" s="668"/>
    </row>
    <row r="513" spans="1:13" ht="28">
      <c r="A513" s="722"/>
      <c r="B513" s="716"/>
      <c r="C513" s="721"/>
      <c r="D513" s="671"/>
      <c r="E513" s="671"/>
      <c r="F513" s="298" t="s">
        <v>371</v>
      </c>
      <c r="G513" s="603">
        <v>1</v>
      </c>
      <c r="H513" s="603">
        <v>1</v>
      </c>
      <c r="I513" s="668"/>
    </row>
    <row r="514" spans="1:13" ht="19.5" customHeight="1">
      <c r="A514" s="722"/>
      <c r="B514" s="716"/>
      <c r="C514" s="721"/>
      <c r="D514" s="671"/>
      <c r="E514" s="671"/>
      <c r="F514" s="298" t="s">
        <v>372</v>
      </c>
      <c r="G514" s="603">
        <v>1</v>
      </c>
      <c r="H514" s="603">
        <v>1</v>
      </c>
      <c r="I514" s="668"/>
    </row>
    <row r="515" spans="1:13" ht="33" customHeight="1">
      <c r="A515" s="698"/>
      <c r="B515" s="678"/>
      <c r="C515" s="700"/>
      <c r="D515" s="672"/>
      <c r="E515" s="672"/>
      <c r="F515" s="187" t="s">
        <v>373</v>
      </c>
      <c r="G515" s="603">
        <v>16</v>
      </c>
      <c r="H515" s="603">
        <v>16</v>
      </c>
      <c r="I515" s="669"/>
    </row>
    <row r="516" spans="1:13" ht="64.5" customHeight="1">
      <c r="A516" s="748" t="s">
        <v>196</v>
      </c>
      <c r="B516" s="677" t="s">
        <v>867</v>
      </c>
      <c r="C516" s="699" t="s">
        <v>20</v>
      </c>
      <c r="D516" s="670">
        <v>64.7</v>
      </c>
      <c r="E516" s="735">
        <v>26.5</v>
      </c>
      <c r="F516" s="332" t="s">
        <v>505</v>
      </c>
      <c r="G516" s="190">
        <v>2</v>
      </c>
      <c r="H516" s="190">
        <v>2</v>
      </c>
      <c r="I516" s="753" t="s">
        <v>1025</v>
      </c>
    </row>
    <row r="517" spans="1:13" ht="84">
      <c r="A517" s="748"/>
      <c r="B517" s="716"/>
      <c r="C517" s="700"/>
      <c r="D517" s="672"/>
      <c r="E517" s="733"/>
      <c r="F517" s="333" t="s">
        <v>506</v>
      </c>
      <c r="G517" s="248">
        <v>25</v>
      </c>
      <c r="H517" s="248">
        <v>25</v>
      </c>
      <c r="I517" s="667"/>
    </row>
    <row r="518" spans="1:13" ht="15" thickBot="1">
      <c r="A518" s="748"/>
      <c r="B518" s="658"/>
      <c r="C518" s="213" t="s">
        <v>67</v>
      </c>
      <c r="D518" s="225">
        <v>235</v>
      </c>
      <c r="E518" s="214">
        <v>135.69999999999999</v>
      </c>
      <c r="F518" s="334" t="s">
        <v>441</v>
      </c>
      <c r="G518" s="248">
        <v>100</v>
      </c>
      <c r="H518" s="248">
        <v>10</v>
      </c>
      <c r="I518" s="667"/>
    </row>
    <row r="519" spans="1:13" ht="33.75" customHeight="1" thickBot="1">
      <c r="A519" s="120" t="s">
        <v>25</v>
      </c>
      <c r="B519" s="121" t="s">
        <v>259</v>
      </c>
      <c r="C519" s="122"/>
      <c r="D519" s="171">
        <f>D520</f>
        <v>269</v>
      </c>
      <c r="E519" s="171">
        <f>E520</f>
        <v>294</v>
      </c>
      <c r="F519" s="948" t="s">
        <v>260</v>
      </c>
      <c r="G519" s="949"/>
      <c r="H519" s="949"/>
      <c r="I519" s="950"/>
    </row>
    <row r="520" spans="1:13" ht="28.5" thickBot="1">
      <c r="A520" s="123" t="s">
        <v>27</v>
      </c>
      <c r="B520" s="118" t="s">
        <v>261</v>
      </c>
      <c r="C520" s="119"/>
      <c r="D520" s="172">
        <f>SUM(D521:D547)</f>
        <v>269</v>
      </c>
      <c r="E520" s="172">
        <f>SUM(E521:E547)</f>
        <v>294</v>
      </c>
      <c r="F520" s="951"/>
      <c r="G520" s="952"/>
      <c r="H520" s="952"/>
      <c r="I520" s="953"/>
    </row>
    <row r="521" spans="1:13">
      <c r="A521" s="722" t="s">
        <v>29</v>
      </c>
      <c r="B521" s="657" t="s">
        <v>507</v>
      </c>
      <c r="C521" s="955" t="s">
        <v>18</v>
      </c>
      <c r="D521" s="671">
        <v>29.2</v>
      </c>
      <c r="E521" s="750">
        <v>29.2</v>
      </c>
      <c r="F521" s="463" t="s">
        <v>374</v>
      </c>
      <c r="G521" s="602">
        <v>448</v>
      </c>
      <c r="H521" s="602">
        <v>468</v>
      </c>
      <c r="I521" s="663" t="s">
        <v>262</v>
      </c>
    </row>
    <row r="522" spans="1:13">
      <c r="A522" s="722"/>
      <c r="B522" s="716"/>
      <c r="C522" s="955"/>
      <c r="D522" s="671"/>
      <c r="E522" s="1004"/>
      <c r="F522" s="464" t="s">
        <v>375</v>
      </c>
      <c r="G522" s="503">
        <v>603</v>
      </c>
      <c r="H522" s="503">
        <v>593</v>
      </c>
      <c r="I522" s="668"/>
    </row>
    <row r="523" spans="1:13">
      <c r="A523" s="722"/>
      <c r="B523" s="716"/>
      <c r="C523" s="955"/>
      <c r="D523" s="671"/>
      <c r="E523" s="1004"/>
      <c r="F523" s="464" t="s">
        <v>376</v>
      </c>
      <c r="G523" s="503">
        <v>264</v>
      </c>
      <c r="H523" s="503">
        <v>258</v>
      </c>
      <c r="I523" s="668"/>
    </row>
    <row r="524" spans="1:13" ht="28">
      <c r="A524" s="722"/>
      <c r="B524" s="716"/>
      <c r="C524" s="955"/>
      <c r="D524" s="671"/>
      <c r="E524" s="1004"/>
      <c r="F524" s="465" t="s">
        <v>377</v>
      </c>
      <c r="G524" s="503">
        <v>134</v>
      </c>
      <c r="H524" s="503">
        <v>134</v>
      </c>
      <c r="I524" s="668"/>
    </row>
    <row r="525" spans="1:13" ht="48" customHeight="1">
      <c r="A525" s="698"/>
      <c r="B525" s="678"/>
      <c r="C525" s="956"/>
      <c r="D525" s="672"/>
      <c r="E525" s="1005"/>
      <c r="F525" s="465" t="s">
        <v>378</v>
      </c>
      <c r="G525" s="503">
        <v>169</v>
      </c>
      <c r="H525" s="503">
        <f>65+71+1</f>
        <v>137</v>
      </c>
      <c r="I525" s="668"/>
    </row>
    <row r="526" spans="1:13" ht="33" customHeight="1">
      <c r="A526" s="576" t="s">
        <v>31</v>
      </c>
      <c r="B526" s="530" t="s">
        <v>508</v>
      </c>
      <c r="C526" s="532" t="s">
        <v>18</v>
      </c>
      <c r="D526" s="534">
        <v>5.2</v>
      </c>
      <c r="E526" s="245">
        <v>4.9000000000000004</v>
      </c>
      <c r="F526" s="197" t="s">
        <v>868</v>
      </c>
      <c r="G526" s="603">
        <v>850</v>
      </c>
      <c r="H526" s="603">
        <v>850</v>
      </c>
      <c r="I526" s="668"/>
    </row>
    <row r="527" spans="1:13" ht="30.75" customHeight="1">
      <c r="A527" s="576" t="s">
        <v>187</v>
      </c>
      <c r="B527" s="530" t="s">
        <v>263</v>
      </c>
      <c r="C527" s="532" t="s">
        <v>18</v>
      </c>
      <c r="D527" s="534">
        <v>0.6</v>
      </c>
      <c r="E527" s="245">
        <v>0.6</v>
      </c>
      <c r="F527" s="197" t="s">
        <v>509</v>
      </c>
      <c r="G527" s="603">
        <v>10</v>
      </c>
      <c r="H527" s="603">
        <v>10</v>
      </c>
      <c r="I527" s="280"/>
      <c r="J527" s="476"/>
      <c r="K527" s="457"/>
      <c r="L527" s="457"/>
      <c r="M527" s="457"/>
    </row>
    <row r="528" spans="1:13" ht="46.5" customHeight="1">
      <c r="A528" s="697" t="s">
        <v>188</v>
      </c>
      <c r="B528" s="677" t="s">
        <v>510</v>
      </c>
      <c r="C528" s="954" t="s">
        <v>18</v>
      </c>
      <c r="D528" s="670">
        <v>8.1</v>
      </c>
      <c r="E528" s="1006">
        <v>8.1</v>
      </c>
      <c r="F528" s="299" t="s">
        <v>869</v>
      </c>
      <c r="G528" s="603">
        <v>206</v>
      </c>
      <c r="H528" s="603">
        <v>211</v>
      </c>
      <c r="I528" s="280"/>
    </row>
    <row r="529" spans="1:13" ht="16.5" customHeight="1">
      <c r="A529" s="722"/>
      <c r="B529" s="716"/>
      <c r="C529" s="955"/>
      <c r="D529" s="671"/>
      <c r="E529" s="1004"/>
      <c r="F529" s="187" t="s">
        <v>379</v>
      </c>
      <c r="G529" s="603">
        <v>8</v>
      </c>
      <c r="H529" s="603">
        <v>11</v>
      </c>
      <c r="I529" s="280"/>
    </row>
    <row r="530" spans="1:13" ht="18.75" customHeight="1">
      <c r="A530" s="698"/>
      <c r="B530" s="678"/>
      <c r="C530" s="956"/>
      <c r="D530" s="672"/>
      <c r="E530" s="1005"/>
      <c r="F530" s="470" t="s">
        <v>380</v>
      </c>
      <c r="G530" s="603">
        <v>20</v>
      </c>
      <c r="H530" s="603">
        <v>9</v>
      </c>
      <c r="I530" s="280"/>
      <c r="J530" s="476"/>
      <c r="K530" s="457"/>
      <c r="L530" s="457"/>
      <c r="M530" s="457"/>
    </row>
    <row r="531" spans="1:13" ht="18.75" customHeight="1">
      <c r="A531" s="697" t="s">
        <v>189</v>
      </c>
      <c r="B531" s="677" t="s">
        <v>511</v>
      </c>
      <c r="C531" s="954" t="s">
        <v>18</v>
      </c>
      <c r="D531" s="670">
        <v>18.2</v>
      </c>
      <c r="E531" s="1001">
        <v>18.2</v>
      </c>
      <c r="F531" s="299" t="s">
        <v>381</v>
      </c>
      <c r="G531" s="603">
        <v>1188</v>
      </c>
      <c r="H531" s="603">
        <v>1150</v>
      </c>
      <c r="I531" s="280"/>
      <c r="J531" s="476"/>
      <c r="K531" s="457"/>
      <c r="L531" s="457"/>
      <c r="M531" s="457"/>
    </row>
    <row r="532" spans="1:13" ht="28">
      <c r="A532" s="722"/>
      <c r="B532" s="716"/>
      <c r="C532" s="955"/>
      <c r="D532" s="671"/>
      <c r="E532" s="1002"/>
      <c r="F532" s="187" t="s">
        <v>382</v>
      </c>
      <c r="G532" s="603">
        <v>1035</v>
      </c>
      <c r="H532" s="454">
        <v>1046.47</v>
      </c>
      <c r="I532" s="280"/>
    </row>
    <row r="533" spans="1:13" ht="29.25" customHeight="1">
      <c r="A533" s="698"/>
      <c r="B533" s="678"/>
      <c r="C533" s="956"/>
      <c r="D533" s="672"/>
      <c r="E533" s="1003"/>
      <c r="F533" s="466" t="s">
        <v>383</v>
      </c>
      <c r="G533" s="603">
        <v>863</v>
      </c>
      <c r="H533" s="603">
        <v>879</v>
      </c>
      <c r="I533" s="280"/>
    </row>
    <row r="534" spans="1:13" ht="33.75" customHeight="1">
      <c r="A534" s="576" t="s">
        <v>264</v>
      </c>
      <c r="B534" s="530" t="s">
        <v>870</v>
      </c>
      <c r="C534" s="532" t="s">
        <v>18</v>
      </c>
      <c r="D534" s="534">
        <v>0.7</v>
      </c>
      <c r="E534" s="210">
        <v>0.7</v>
      </c>
      <c r="F534" s="197" t="s">
        <v>1168</v>
      </c>
      <c r="G534" s="190">
        <v>41819</v>
      </c>
      <c r="H534" s="190">
        <v>41163</v>
      </c>
      <c r="I534" s="280"/>
    </row>
    <row r="535" spans="1:13" ht="28">
      <c r="A535" s="576" t="s">
        <v>265</v>
      </c>
      <c r="B535" s="574" t="s">
        <v>268</v>
      </c>
      <c r="C535" s="532" t="s">
        <v>18</v>
      </c>
      <c r="D535" s="593">
        <v>7.2</v>
      </c>
      <c r="E535" s="184">
        <v>7.6</v>
      </c>
      <c r="F535" s="197" t="s">
        <v>871</v>
      </c>
      <c r="G535" s="190">
        <v>1366</v>
      </c>
      <c r="H535" s="190">
        <v>1260</v>
      </c>
      <c r="I535" s="280" t="s">
        <v>910</v>
      </c>
      <c r="J535" s="476"/>
      <c r="K535" s="457"/>
      <c r="L535" s="457"/>
    </row>
    <row r="536" spans="1:13" ht="21" customHeight="1">
      <c r="A536" s="697" t="s">
        <v>266</v>
      </c>
      <c r="B536" s="677" t="s">
        <v>512</v>
      </c>
      <c r="C536" s="954" t="s">
        <v>18</v>
      </c>
      <c r="D536" s="670">
        <v>19.100000000000001</v>
      </c>
      <c r="E536" s="1001">
        <v>19.100000000000001</v>
      </c>
      <c r="F536" s="467" t="s">
        <v>384</v>
      </c>
      <c r="G536" s="603">
        <v>1</v>
      </c>
      <c r="H536" s="603">
        <v>1</v>
      </c>
      <c r="I536" s="280"/>
    </row>
    <row r="537" spans="1:13" ht="33" customHeight="1">
      <c r="A537" s="698"/>
      <c r="B537" s="678"/>
      <c r="C537" s="956"/>
      <c r="D537" s="672"/>
      <c r="E537" s="1003"/>
      <c r="F537" s="629" t="s">
        <v>872</v>
      </c>
      <c r="G537" s="603">
        <v>30</v>
      </c>
      <c r="H537" s="603">
        <v>47</v>
      </c>
      <c r="I537" s="505"/>
    </row>
    <row r="538" spans="1:13" ht="32.25" customHeight="1">
      <c r="A538" s="576" t="s">
        <v>267</v>
      </c>
      <c r="B538" s="574" t="s">
        <v>271</v>
      </c>
      <c r="C538" s="274" t="s">
        <v>18</v>
      </c>
      <c r="D538" s="593">
        <v>101.7</v>
      </c>
      <c r="E538" s="184">
        <v>101.7</v>
      </c>
      <c r="F538" s="600" t="s">
        <v>1026</v>
      </c>
      <c r="G538" s="603">
        <v>1980</v>
      </c>
      <c r="H538" s="603">
        <v>1226</v>
      </c>
      <c r="I538" s="504"/>
    </row>
    <row r="539" spans="1:13" ht="28">
      <c r="A539" s="697" t="s">
        <v>269</v>
      </c>
      <c r="B539" s="677" t="s">
        <v>873</v>
      </c>
      <c r="C539" s="954" t="s">
        <v>18</v>
      </c>
      <c r="D539" s="670">
        <v>4.8</v>
      </c>
      <c r="E539" s="1001">
        <v>4.8</v>
      </c>
      <c r="F539" s="197" t="s">
        <v>385</v>
      </c>
      <c r="G539" s="603">
        <v>383</v>
      </c>
      <c r="H539" s="603">
        <v>393</v>
      </c>
      <c r="I539" s="280"/>
    </row>
    <row r="540" spans="1:13" ht="34.5" customHeight="1">
      <c r="A540" s="698"/>
      <c r="B540" s="678"/>
      <c r="C540" s="956"/>
      <c r="D540" s="672"/>
      <c r="E540" s="1003"/>
      <c r="F540" s="197" t="s">
        <v>386</v>
      </c>
      <c r="G540" s="603">
        <v>220</v>
      </c>
      <c r="H540" s="603">
        <v>195</v>
      </c>
      <c r="I540" s="280"/>
    </row>
    <row r="541" spans="1:13" ht="42">
      <c r="A541" s="576" t="s">
        <v>270</v>
      </c>
      <c r="B541" s="574" t="s">
        <v>275</v>
      </c>
      <c r="C541" s="532" t="s">
        <v>18</v>
      </c>
      <c r="D541" s="593">
        <v>13</v>
      </c>
      <c r="E541" s="186">
        <v>16</v>
      </c>
      <c r="F541" s="600" t="s">
        <v>387</v>
      </c>
      <c r="G541" s="603">
        <v>40</v>
      </c>
      <c r="H541" s="603">
        <v>31</v>
      </c>
      <c r="I541" s="280" t="s">
        <v>912</v>
      </c>
    </row>
    <row r="542" spans="1:13" ht="35.25" customHeight="1">
      <c r="A542" s="576" t="s">
        <v>272</v>
      </c>
      <c r="B542" s="574" t="s">
        <v>388</v>
      </c>
      <c r="C542" s="532" t="s">
        <v>18</v>
      </c>
      <c r="D542" s="593">
        <v>10.199999999999999</v>
      </c>
      <c r="E542" s="184">
        <v>10.199999999999999</v>
      </c>
      <c r="F542" s="600" t="s">
        <v>389</v>
      </c>
      <c r="G542" s="603">
        <v>6816</v>
      </c>
      <c r="H542" s="603">
        <v>6296</v>
      </c>
      <c r="I542" s="280"/>
    </row>
    <row r="543" spans="1:13" ht="30.75" customHeight="1">
      <c r="A543" s="576" t="s">
        <v>273</v>
      </c>
      <c r="B543" s="574" t="s">
        <v>513</v>
      </c>
      <c r="C543" s="532" t="s">
        <v>18</v>
      </c>
      <c r="D543" s="593">
        <v>9.1</v>
      </c>
      <c r="E543" s="184">
        <v>9.6999999999999993</v>
      </c>
      <c r="F543" s="197" t="s">
        <v>1027</v>
      </c>
      <c r="G543" s="603">
        <v>1</v>
      </c>
      <c r="H543" s="603">
        <v>4</v>
      </c>
      <c r="I543" s="280" t="s">
        <v>911</v>
      </c>
    </row>
    <row r="544" spans="1:13" ht="33" customHeight="1">
      <c r="A544" s="576" t="s">
        <v>274</v>
      </c>
      <c r="B544" s="528" t="s">
        <v>390</v>
      </c>
      <c r="C544" s="543" t="s">
        <v>18</v>
      </c>
      <c r="D544" s="533">
        <v>3.6</v>
      </c>
      <c r="E544" s="259">
        <v>3.6</v>
      </c>
      <c r="F544" s="197" t="s">
        <v>1169</v>
      </c>
      <c r="G544" s="190">
        <v>80</v>
      </c>
      <c r="H544" s="190">
        <v>79</v>
      </c>
      <c r="I544" s="280"/>
    </row>
    <row r="545" spans="1:14" ht="33.75" customHeight="1">
      <c r="A545" s="576" t="s">
        <v>276</v>
      </c>
      <c r="B545" s="574" t="s">
        <v>514</v>
      </c>
      <c r="C545" s="274" t="s">
        <v>18</v>
      </c>
      <c r="D545" s="593">
        <v>8.4</v>
      </c>
      <c r="E545" s="184">
        <v>13.8</v>
      </c>
      <c r="F545" s="197" t="s">
        <v>1170</v>
      </c>
      <c r="G545" s="190">
        <v>49</v>
      </c>
      <c r="H545" s="190">
        <v>98</v>
      </c>
      <c r="I545" s="451" t="s">
        <v>913</v>
      </c>
      <c r="J545" s="480"/>
      <c r="K545" s="480"/>
      <c r="L545" s="480"/>
      <c r="M545" s="474"/>
      <c r="N545" s="471"/>
    </row>
    <row r="546" spans="1:14" ht="36" customHeight="1">
      <c r="A546" s="576" t="s">
        <v>277</v>
      </c>
      <c r="B546" s="574" t="s">
        <v>874</v>
      </c>
      <c r="C546" s="274" t="s">
        <v>18</v>
      </c>
      <c r="D546" s="593">
        <v>29.9</v>
      </c>
      <c r="E546" s="184">
        <v>27.8</v>
      </c>
      <c r="F546" s="197" t="s">
        <v>875</v>
      </c>
      <c r="G546" s="190">
        <v>500</v>
      </c>
      <c r="H546" s="190">
        <v>1023</v>
      </c>
      <c r="I546" s="505"/>
    </row>
    <row r="547" spans="1:14" ht="123.75" customHeight="1" thickBot="1">
      <c r="A547" s="526" t="s">
        <v>278</v>
      </c>
      <c r="B547" s="547" t="s">
        <v>978</v>
      </c>
      <c r="C547" s="543" t="s">
        <v>18</v>
      </c>
      <c r="D547" s="435">
        <v>0</v>
      </c>
      <c r="E547" s="254">
        <v>18</v>
      </c>
      <c r="F547" s="468" t="s">
        <v>1058</v>
      </c>
      <c r="G547" s="434">
        <v>0</v>
      </c>
      <c r="H547" s="434">
        <v>34</v>
      </c>
      <c r="I547" s="469" t="s">
        <v>1135</v>
      </c>
    </row>
    <row r="548" spans="1:14" ht="61.5" customHeight="1" thickBot="1">
      <c r="A548" s="120" t="s">
        <v>34</v>
      </c>
      <c r="B548" s="121" t="s">
        <v>876</v>
      </c>
      <c r="C548" s="122"/>
      <c r="D548" s="171">
        <f>D549+D557+D560</f>
        <v>142.5</v>
      </c>
      <c r="E548" s="171">
        <f>E549+E557+E560</f>
        <v>134</v>
      </c>
      <c r="F548" s="948"/>
      <c r="G548" s="949"/>
      <c r="H548" s="949"/>
      <c r="I548" s="950"/>
    </row>
    <row r="549" spans="1:14" ht="34.5" customHeight="1" thickBot="1">
      <c r="A549" s="123" t="s">
        <v>36</v>
      </c>
      <c r="B549" s="118" t="s">
        <v>515</v>
      </c>
      <c r="C549" s="119"/>
      <c r="D549" s="172">
        <f>SUM(D550:D556)</f>
        <v>61</v>
      </c>
      <c r="E549" s="172">
        <f>SUM(E550:E556)</f>
        <v>56.6</v>
      </c>
      <c r="F549" s="951"/>
      <c r="G549" s="952"/>
      <c r="H549" s="952"/>
      <c r="I549" s="953"/>
    </row>
    <row r="550" spans="1:14" ht="45" customHeight="1">
      <c r="A550" s="657" t="s">
        <v>38</v>
      </c>
      <c r="B550" s="657" t="s">
        <v>516</v>
      </c>
      <c r="C550" s="701" t="s">
        <v>20</v>
      </c>
      <c r="D550" s="703">
        <v>30</v>
      </c>
      <c r="E550" s="829">
        <v>41.1</v>
      </c>
      <c r="F550" s="335" t="s">
        <v>280</v>
      </c>
      <c r="G550" s="602">
        <v>13</v>
      </c>
      <c r="H550" s="602">
        <v>6</v>
      </c>
      <c r="I550" s="663" t="s">
        <v>281</v>
      </c>
    </row>
    <row r="551" spans="1:14" ht="53.25" customHeight="1">
      <c r="A551" s="678"/>
      <c r="B551" s="678"/>
      <c r="C551" s="700"/>
      <c r="D551" s="672"/>
      <c r="E551" s="733"/>
      <c r="F551" s="336" t="s">
        <v>282</v>
      </c>
      <c r="G551" s="503">
        <v>15</v>
      </c>
      <c r="H551" s="503">
        <v>13</v>
      </c>
      <c r="I551" s="669"/>
    </row>
    <row r="552" spans="1:14" ht="28">
      <c r="A552" s="337" t="s">
        <v>39</v>
      </c>
      <c r="B552" s="337" t="s">
        <v>517</v>
      </c>
      <c r="C552" s="265" t="s">
        <v>20</v>
      </c>
      <c r="D552" s="338">
        <v>2</v>
      </c>
      <c r="E552" s="338">
        <v>2</v>
      </c>
      <c r="F552" s="398" t="s">
        <v>283</v>
      </c>
      <c r="G552" s="512">
        <v>4</v>
      </c>
      <c r="H552" s="512">
        <v>4</v>
      </c>
      <c r="I552" s="280" t="s">
        <v>563</v>
      </c>
    </row>
    <row r="553" spans="1:14" ht="28">
      <c r="A553" s="697" t="s">
        <v>40</v>
      </c>
      <c r="B553" s="677" t="s">
        <v>518</v>
      </c>
      <c r="C553" s="699" t="s">
        <v>20</v>
      </c>
      <c r="D553" s="735">
        <v>29</v>
      </c>
      <c r="E553" s="735">
        <v>13.5</v>
      </c>
      <c r="F553" s="339" t="s">
        <v>519</v>
      </c>
      <c r="G553" s="603">
        <v>2</v>
      </c>
      <c r="H553" s="603">
        <v>1</v>
      </c>
      <c r="I553" s="667" t="s">
        <v>564</v>
      </c>
    </row>
    <row r="554" spans="1:14" ht="28">
      <c r="A554" s="722"/>
      <c r="B554" s="716"/>
      <c r="C554" s="721"/>
      <c r="D554" s="752"/>
      <c r="E554" s="752"/>
      <c r="F554" s="339" t="s">
        <v>520</v>
      </c>
      <c r="G554" s="603">
        <v>1</v>
      </c>
      <c r="H554" s="603">
        <v>1</v>
      </c>
      <c r="I554" s="668"/>
      <c r="J554" s="476"/>
      <c r="K554" s="457"/>
      <c r="L554" s="457"/>
      <c r="M554" s="457"/>
    </row>
    <row r="555" spans="1:14" ht="28">
      <c r="A555" s="722"/>
      <c r="B555" s="716"/>
      <c r="C555" s="721"/>
      <c r="D555" s="752"/>
      <c r="E555" s="752"/>
      <c r="F555" s="339" t="s">
        <v>521</v>
      </c>
      <c r="G555" s="603">
        <v>2</v>
      </c>
      <c r="H555" s="603">
        <v>2</v>
      </c>
      <c r="I555" s="668"/>
    </row>
    <row r="556" spans="1:14" ht="28.5" thickBot="1">
      <c r="A556" s="722"/>
      <c r="B556" s="716"/>
      <c r="C556" s="721"/>
      <c r="D556" s="752"/>
      <c r="E556" s="752"/>
      <c r="F556" s="630" t="s">
        <v>522</v>
      </c>
      <c r="G556" s="511">
        <v>1</v>
      </c>
      <c r="H556" s="511">
        <v>0</v>
      </c>
      <c r="I556" s="668"/>
    </row>
    <row r="557" spans="1:14" ht="60" customHeight="1" thickBot="1">
      <c r="A557" s="123" t="s">
        <v>284</v>
      </c>
      <c r="B557" s="118" t="s">
        <v>523</v>
      </c>
      <c r="C557" s="119"/>
      <c r="D557" s="172">
        <f>SUM(D558:D559)</f>
        <v>52.5</v>
      </c>
      <c r="E557" s="172">
        <f>SUM(E558:E559)</f>
        <v>52.5</v>
      </c>
      <c r="F557" s="951"/>
      <c r="G557" s="952"/>
      <c r="H557" s="952"/>
      <c r="I557" s="953"/>
    </row>
    <row r="558" spans="1:14" ht="28">
      <c r="A558" s="169" t="s">
        <v>62</v>
      </c>
      <c r="B558" s="340" t="s">
        <v>877</v>
      </c>
      <c r="C558" s="262" t="s">
        <v>20</v>
      </c>
      <c r="D558" s="263">
        <v>12.5</v>
      </c>
      <c r="E558" s="263">
        <v>12.5</v>
      </c>
      <c r="F558" s="599" t="s">
        <v>395</v>
      </c>
      <c r="G558" s="602">
        <v>60</v>
      </c>
      <c r="H558" s="602">
        <v>60</v>
      </c>
      <c r="I558" s="407" t="s">
        <v>562</v>
      </c>
    </row>
    <row r="559" spans="1:14" ht="78" customHeight="1" thickBot="1">
      <c r="A559" s="147" t="s">
        <v>63</v>
      </c>
      <c r="B559" s="341" t="s">
        <v>878</v>
      </c>
      <c r="C559" s="342" t="s">
        <v>20</v>
      </c>
      <c r="D559" s="233">
        <v>40</v>
      </c>
      <c r="E559" s="233">
        <v>40</v>
      </c>
      <c r="F559" s="600" t="s">
        <v>524</v>
      </c>
      <c r="G559" s="603">
        <v>4</v>
      </c>
      <c r="H559" s="603">
        <v>5</v>
      </c>
      <c r="I559" s="421" t="s">
        <v>1029</v>
      </c>
    </row>
    <row r="560" spans="1:14" ht="36" customHeight="1" thickBot="1">
      <c r="A560" s="123" t="s">
        <v>65</v>
      </c>
      <c r="B560" s="118" t="s">
        <v>525</v>
      </c>
      <c r="C560" s="119"/>
      <c r="D560" s="172">
        <f>D561+D562</f>
        <v>29</v>
      </c>
      <c r="E560" s="172">
        <f>E561+E562</f>
        <v>24.9</v>
      </c>
      <c r="F560" s="951"/>
      <c r="G560" s="952"/>
      <c r="H560" s="952"/>
      <c r="I560" s="953"/>
    </row>
    <row r="561" spans="1:13" ht="20.25" customHeight="1">
      <c r="A561" s="576" t="s">
        <v>66</v>
      </c>
      <c r="B561" s="530" t="s">
        <v>285</v>
      </c>
      <c r="C561" s="532" t="s">
        <v>20</v>
      </c>
      <c r="D561" s="568">
        <v>14</v>
      </c>
      <c r="E561" s="245">
        <v>12.3</v>
      </c>
      <c r="F561" s="599" t="s">
        <v>286</v>
      </c>
      <c r="G561" s="343">
        <v>1</v>
      </c>
      <c r="H561" s="343">
        <f>E561/D561</f>
        <v>0.87857142857142867</v>
      </c>
      <c r="I561" s="663" t="s">
        <v>287</v>
      </c>
    </row>
    <row r="562" spans="1:13" ht="28.5" thickBot="1">
      <c r="A562" s="576" t="s">
        <v>526</v>
      </c>
      <c r="B562" s="529" t="s">
        <v>879</v>
      </c>
      <c r="C562" s="543" t="s">
        <v>20</v>
      </c>
      <c r="D562" s="567">
        <v>15</v>
      </c>
      <c r="E562" s="254">
        <v>12.6</v>
      </c>
      <c r="F562" s="601" t="s">
        <v>527</v>
      </c>
      <c r="G562" s="344">
        <v>1</v>
      </c>
      <c r="H562" s="344">
        <f>E562/D562</f>
        <v>0.84</v>
      </c>
      <c r="I562" s="664"/>
    </row>
    <row r="563" spans="1:13" ht="28.5" thickBot="1">
      <c r="A563" s="120" t="s">
        <v>68</v>
      </c>
      <c r="B563" s="121" t="s">
        <v>880</v>
      </c>
      <c r="C563" s="122"/>
      <c r="D563" s="171">
        <f>D564</f>
        <v>15.4</v>
      </c>
      <c r="E563" s="171">
        <f>E564</f>
        <v>7.6999999999999993</v>
      </c>
      <c r="F563" s="948"/>
      <c r="G563" s="949"/>
      <c r="H563" s="949"/>
      <c r="I563" s="950"/>
    </row>
    <row r="564" spans="1:13" ht="32.25" customHeight="1" thickBot="1">
      <c r="A564" s="123" t="s">
        <v>70</v>
      </c>
      <c r="B564" s="118" t="s">
        <v>288</v>
      </c>
      <c r="C564" s="119"/>
      <c r="D564" s="172">
        <f>SUM(D565:D566)</f>
        <v>15.4</v>
      </c>
      <c r="E564" s="172">
        <f>SUM(E565:E566)</f>
        <v>7.6999999999999993</v>
      </c>
      <c r="F564" s="951"/>
      <c r="G564" s="952"/>
      <c r="H564" s="952"/>
      <c r="I564" s="953"/>
    </row>
    <row r="565" spans="1:13" ht="28">
      <c r="A565" s="527" t="s">
        <v>71</v>
      </c>
      <c r="B565" s="565" t="s">
        <v>289</v>
      </c>
      <c r="C565" s="537" t="s">
        <v>20</v>
      </c>
      <c r="D565" s="534">
        <v>5.4</v>
      </c>
      <c r="E565" s="422">
        <v>3.8</v>
      </c>
      <c r="F565" s="345" t="s">
        <v>391</v>
      </c>
      <c r="G565" s="503">
        <v>67</v>
      </c>
      <c r="H565" s="503">
        <v>63</v>
      </c>
      <c r="I565" s="509" t="s">
        <v>290</v>
      </c>
    </row>
    <row r="566" spans="1:13" ht="28.5" thickBot="1">
      <c r="A566" s="576" t="s">
        <v>73</v>
      </c>
      <c r="B566" s="586" t="s">
        <v>392</v>
      </c>
      <c r="C566" s="606" t="s">
        <v>20</v>
      </c>
      <c r="D566" s="593">
        <v>10</v>
      </c>
      <c r="E566" s="196">
        <v>3.9</v>
      </c>
      <c r="F566" s="601" t="s">
        <v>881</v>
      </c>
      <c r="G566" s="604">
        <v>1</v>
      </c>
      <c r="H566" s="604">
        <v>1</v>
      </c>
      <c r="I566" s="521" t="s">
        <v>543</v>
      </c>
    </row>
    <row r="567" spans="1:13" ht="49.5" customHeight="1" thickBot="1">
      <c r="A567" s="120" t="s">
        <v>89</v>
      </c>
      <c r="B567" s="121" t="s">
        <v>882</v>
      </c>
      <c r="C567" s="122"/>
      <c r="D567" s="171">
        <f>D568</f>
        <v>124.2</v>
      </c>
      <c r="E567" s="171">
        <f>E568</f>
        <v>1567.8</v>
      </c>
      <c r="F567" s="948"/>
      <c r="G567" s="949"/>
      <c r="H567" s="949"/>
      <c r="I567" s="950"/>
      <c r="J567" s="476"/>
      <c r="K567" s="476"/>
      <c r="L567" s="476"/>
      <c r="M567" s="457"/>
    </row>
    <row r="568" spans="1:13" ht="32.25" customHeight="1" thickBot="1">
      <c r="A568" s="123" t="s">
        <v>90</v>
      </c>
      <c r="B568" s="118" t="s">
        <v>292</v>
      </c>
      <c r="C568" s="119"/>
      <c r="D568" s="172">
        <f>SUM(D569:D569)</f>
        <v>124.2</v>
      </c>
      <c r="E568" s="172">
        <f>SUM(E569:E570)</f>
        <v>1567.8</v>
      </c>
      <c r="F568" s="951"/>
      <c r="G568" s="952"/>
      <c r="H568" s="952"/>
      <c r="I568" s="953"/>
      <c r="J568" s="471"/>
      <c r="K568" s="471"/>
      <c r="L568" s="471"/>
      <c r="M568" s="471"/>
    </row>
    <row r="569" spans="1:13" ht="30" customHeight="1">
      <c r="A569" s="657" t="s">
        <v>91</v>
      </c>
      <c r="B569" s="657" t="s">
        <v>293</v>
      </c>
      <c r="C569" s="590" t="s">
        <v>20</v>
      </c>
      <c r="D569" s="198">
        <v>124.2</v>
      </c>
      <c r="E569" s="594">
        <f>77.1+(1490.7-1490)</f>
        <v>77.80000000000004</v>
      </c>
      <c r="F569" s="659" t="s">
        <v>528</v>
      </c>
      <c r="G569" s="661">
        <v>1</v>
      </c>
      <c r="H569" s="661">
        <v>1</v>
      </c>
      <c r="I569" s="663" t="s">
        <v>1100</v>
      </c>
      <c r="J569" s="476"/>
      <c r="K569" s="457"/>
      <c r="L569" s="457"/>
      <c r="M569" s="457"/>
    </row>
    <row r="570" spans="1:13" ht="22.5" customHeight="1" thickBot="1">
      <c r="A570" s="658"/>
      <c r="B570" s="658"/>
      <c r="C570" s="543" t="s">
        <v>1074</v>
      </c>
      <c r="D570" s="567">
        <v>0</v>
      </c>
      <c r="E570" s="229">
        <v>1490</v>
      </c>
      <c r="F570" s="660"/>
      <c r="G570" s="662"/>
      <c r="H570" s="662"/>
      <c r="I570" s="664"/>
      <c r="J570" s="476"/>
      <c r="K570" s="457"/>
      <c r="L570" s="457"/>
      <c r="M570" s="457"/>
    </row>
    <row r="571" spans="1:13" ht="48" customHeight="1" thickBot="1">
      <c r="A571" s="120" t="s">
        <v>191</v>
      </c>
      <c r="B571" s="121" t="s">
        <v>294</v>
      </c>
      <c r="C571" s="122"/>
      <c r="D571" s="171">
        <f>D572</f>
        <v>260</v>
      </c>
      <c r="E571" s="171">
        <f>E572</f>
        <v>92.800000000000011</v>
      </c>
      <c r="F571" s="948"/>
      <c r="G571" s="949"/>
      <c r="H571" s="949"/>
      <c r="I571" s="950"/>
      <c r="J571" s="480"/>
      <c r="K571" s="480"/>
      <c r="L571" s="480"/>
      <c r="M571" s="474"/>
    </row>
    <row r="572" spans="1:13" ht="36.75" customHeight="1" thickBot="1">
      <c r="A572" s="123" t="s">
        <v>295</v>
      </c>
      <c r="B572" s="118" t="s">
        <v>296</v>
      </c>
      <c r="C572" s="119"/>
      <c r="D572" s="172">
        <f>SUM(D573:D577)</f>
        <v>260</v>
      </c>
      <c r="E572" s="172">
        <f>SUM(E573:E577)</f>
        <v>92.800000000000011</v>
      </c>
      <c r="F572" s="951"/>
      <c r="G572" s="952"/>
      <c r="H572" s="952"/>
      <c r="I572" s="953"/>
      <c r="J572" s="480"/>
      <c r="K572" s="480"/>
      <c r="L572" s="480"/>
      <c r="M572" s="474"/>
    </row>
    <row r="573" spans="1:13" ht="24.75" customHeight="1">
      <c r="A573" s="865" t="s">
        <v>297</v>
      </c>
      <c r="B573" s="657" t="s">
        <v>529</v>
      </c>
      <c r="C573" s="650" t="s">
        <v>20</v>
      </c>
      <c r="D573" s="242">
        <v>40</v>
      </c>
      <c r="E573" s="594">
        <v>20.399999999999999</v>
      </c>
      <c r="F573" s="659" t="s">
        <v>883</v>
      </c>
      <c r="G573" s="910">
        <v>6</v>
      </c>
      <c r="H573" s="910">
        <v>5</v>
      </c>
      <c r="I573" s="663" t="s">
        <v>1136</v>
      </c>
      <c r="J573" s="476"/>
      <c r="K573" s="476"/>
      <c r="L573" s="476"/>
      <c r="M573" s="476"/>
    </row>
    <row r="574" spans="1:13" ht="24.75" customHeight="1">
      <c r="A574" s="698"/>
      <c r="B574" s="678"/>
      <c r="C574" s="321" t="s">
        <v>67</v>
      </c>
      <c r="D574" s="243">
        <v>150</v>
      </c>
      <c r="E574" s="595">
        <v>25.5</v>
      </c>
      <c r="F574" s="728"/>
      <c r="G574" s="745"/>
      <c r="H574" s="745"/>
      <c r="I574" s="669"/>
      <c r="J574" s="476"/>
      <c r="K574" s="476"/>
      <c r="L574" s="476"/>
      <c r="M574" s="476"/>
    </row>
    <row r="575" spans="1:13" ht="18.75" customHeight="1">
      <c r="A575" s="697" t="s">
        <v>393</v>
      </c>
      <c r="B575" s="677" t="s">
        <v>530</v>
      </c>
      <c r="C575" s="836" t="s">
        <v>20</v>
      </c>
      <c r="D575" s="735">
        <v>20</v>
      </c>
      <c r="E575" s="735">
        <v>20</v>
      </c>
      <c r="F575" s="399" t="s">
        <v>531</v>
      </c>
      <c r="G575" s="603">
        <v>1</v>
      </c>
      <c r="H575" s="603">
        <v>0</v>
      </c>
      <c r="I575" s="667" t="s">
        <v>571</v>
      </c>
    </row>
    <row r="576" spans="1:13" ht="33" customHeight="1">
      <c r="A576" s="698"/>
      <c r="B576" s="678"/>
      <c r="C576" s="850"/>
      <c r="D576" s="733"/>
      <c r="E576" s="733"/>
      <c r="F576" s="399" t="s">
        <v>532</v>
      </c>
      <c r="G576" s="603">
        <v>3</v>
      </c>
      <c r="H576" s="603">
        <v>8</v>
      </c>
      <c r="I576" s="669"/>
    </row>
    <row r="577" spans="1:13" ht="34.5" customHeight="1" thickBot="1">
      <c r="A577" s="651" t="s">
        <v>884</v>
      </c>
      <c r="B577" s="212" t="s">
        <v>885</v>
      </c>
      <c r="C577" s="213" t="s">
        <v>20</v>
      </c>
      <c r="D577" s="225">
        <v>50</v>
      </c>
      <c r="E577" s="652">
        <v>26.9</v>
      </c>
      <c r="F577" s="601" t="s">
        <v>886</v>
      </c>
      <c r="G577" s="604">
        <v>1</v>
      </c>
      <c r="H577" s="604">
        <v>1</v>
      </c>
      <c r="I577" s="521" t="s">
        <v>1028</v>
      </c>
    </row>
    <row r="578" spans="1:13" ht="79.5" customHeight="1" thickBot="1">
      <c r="A578" s="120" t="s">
        <v>202</v>
      </c>
      <c r="B578" s="121" t="s">
        <v>533</v>
      </c>
      <c r="C578" s="122"/>
      <c r="D578" s="171">
        <f>D579</f>
        <v>908.6</v>
      </c>
      <c r="E578" s="171">
        <f>E579</f>
        <v>41</v>
      </c>
      <c r="F578" s="948"/>
      <c r="G578" s="949"/>
      <c r="H578" s="949"/>
      <c r="I578" s="950"/>
    </row>
    <row r="579" spans="1:13" ht="48.75" customHeight="1" thickBot="1">
      <c r="A579" s="123" t="s">
        <v>534</v>
      </c>
      <c r="B579" s="118" t="s">
        <v>535</v>
      </c>
      <c r="C579" s="119"/>
      <c r="D579" s="172">
        <f>SUM(D580:D584)</f>
        <v>908.6</v>
      </c>
      <c r="E579" s="172">
        <f>SUM(E580:E584)</f>
        <v>41</v>
      </c>
      <c r="F579" s="1009"/>
      <c r="G579" s="1010"/>
      <c r="H579" s="1010"/>
      <c r="I579" s="1011"/>
      <c r="J579" s="476"/>
      <c r="K579" s="476"/>
      <c r="L579" s="476"/>
      <c r="M579" s="457"/>
    </row>
    <row r="580" spans="1:13" ht="35.25" customHeight="1">
      <c r="A580" s="605" t="s">
        <v>536</v>
      </c>
      <c r="B580" s="589" t="s">
        <v>539</v>
      </c>
      <c r="C580" s="273" t="s">
        <v>20</v>
      </c>
      <c r="D580" s="198">
        <v>15</v>
      </c>
      <c r="E580" s="594">
        <v>8.9</v>
      </c>
      <c r="F580" s="246" t="s">
        <v>394</v>
      </c>
      <c r="G580" s="602">
        <v>6</v>
      </c>
      <c r="H580" s="602">
        <v>8</v>
      </c>
      <c r="I580" s="448" t="s">
        <v>542</v>
      </c>
      <c r="J580" s="476"/>
      <c r="K580" s="476"/>
      <c r="L580" s="476"/>
      <c r="M580" s="457"/>
    </row>
    <row r="581" spans="1:13" ht="27" customHeight="1">
      <c r="A581" s="697" t="s">
        <v>537</v>
      </c>
      <c r="B581" s="677" t="s">
        <v>887</v>
      </c>
      <c r="C581" s="532" t="s">
        <v>20</v>
      </c>
      <c r="D581" s="568">
        <v>20.399999999999999</v>
      </c>
      <c r="E581" s="538">
        <v>0.2</v>
      </c>
      <c r="F581" s="727" t="s">
        <v>411</v>
      </c>
      <c r="G581" s="744">
        <v>5</v>
      </c>
      <c r="H581" s="744">
        <v>0</v>
      </c>
      <c r="I581" s="667" t="s">
        <v>914</v>
      </c>
      <c r="J581" s="480"/>
      <c r="K581" s="474"/>
      <c r="L581" s="474"/>
      <c r="M581" s="474"/>
    </row>
    <row r="582" spans="1:13" ht="27" customHeight="1">
      <c r="A582" s="698"/>
      <c r="B582" s="678"/>
      <c r="C582" s="532" t="s">
        <v>67</v>
      </c>
      <c r="D582" s="568">
        <v>104</v>
      </c>
      <c r="E582" s="538">
        <v>0</v>
      </c>
      <c r="F582" s="728"/>
      <c r="G582" s="745"/>
      <c r="H582" s="745"/>
      <c r="I582" s="669"/>
      <c r="J582" s="480"/>
      <c r="K582" s="474"/>
      <c r="L582" s="474"/>
      <c r="M582" s="474"/>
    </row>
    <row r="583" spans="1:13" ht="29.25" customHeight="1">
      <c r="A583" s="697" t="s">
        <v>538</v>
      </c>
      <c r="B583" s="677" t="s">
        <v>888</v>
      </c>
      <c r="C583" s="606" t="s">
        <v>20</v>
      </c>
      <c r="D583" s="191">
        <v>63</v>
      </c>
      <c r="E583" s="609">
        <v>6.9</v>
      </c>
      <c r="F583" s="1012" t="s">
        <v>540</v>
      </c>
      <c r="G583" s="744">
        <v>8</v>
      </c>
      <c r="H583" s="744">
        <v>15</v>
      </c>
      <c r="I583" s="753" t="s">
        <v>915</v>
      </c>
    </row>
    <row r="584" spans="1:13" ht="29.25" customHeight="1" thickBot="1">
      <c r="A584" s="868"/>
      <c r="B584" s="658"/>
      <c r="C584" s="285" t="s">
        <v>67</v>
      </c>
      <c r="D584" s="286">
        <v>706.2</v>
      </c>
      <c r="E584" s="524">
        <v>25</v>
      </c>
      <c r="F584" s="1013"/>
      <c r="G584" s="1014"/>
      <c r="H584" s="1014"/>
      <c r="I584" s="747"/>
      <c r="J584" s="500"/>
      <c r="K584" s="479"/>
      <c r="L584" s="479"/>
      <c r="M584" s="479"/>
    </row>
    <row r="585" spans="1:13" ht="15" thickBot="1">
      <c r="A585" s="961" t="s">
        <v>396</v>
      </c>
      <c r="B585" s="962"/>
      <c r="C585" s="963"/>
      <c r="D585" s="173">
        <f>D9+D209+D252+D495</f>
        <v>62752.400000000009</v>
      </c>
      <c r="E585" s="173">
        <f>E9+E209+E252+E495</f>
        <v>60418.61</v>
      </c>
      <c r="F585" s="58"/>
      <c r="G585" s="58"/>
      <c r="H585" s="58"/>
      <c r="I585" s="58"/>
    </row>
    <row r="586" spans="1:13" ht="15" thickBot="1">
      <c r="A586" s="58"/>
      <c r="B586" s="58"/>
      <c r="C586" s="24"/>
      <c r="D586" s="136"/>
      <c r="E586" s="135"/>
      <c r="F586" s="58"/>
      <c r="G586" s="58"/>
      <c r="H586" s="58"/>
      <c r="I586" s="58"/>
    </row>
    <row r="587" spans="1:13">
      <c r="A587" s="124"/>
      <c r="B587" s="966" t="s">
        <v>298</v>
      </c>
      <c r="C587" s="967"/>
      <c r="D587" s="488">
        <f>SUMIF($C$8:$C$584,"SB",$D$8:$D$584)</f>
        <v>28699.499999999996</v>
      </c>
      <c r="E587" s="488">
        <f>SUMIF($C$8:$C$584,"SB",$E$8:$E$584)</f>
        <v>27588.800000000007</v>
      </c>
      <c r="F587" s="501"/>
      <c r="G587" s="501"/>
      <c r="H587" s="501"/>
      <c r="I587" s="501"/>
    </row>
    <row r="588" spans="1:13">
      <c r="A588" s="124"/>
      <c r="B588" s="959" t="s">
        <v>299</v>
      </c>
      <c r="C588" s="960"/>
      <c r="D588" s="489">
        <f>SUMIF($C$8:$C$579,"VB-STD",$D$8:$D$579)</f>
        <v>13412.500000000007</v>
      </c>
      <c r="E588" s="489">
        <f>SUMIF($C$8:$C$584,"VB-STD",$E$8:$E$584)</f>
        <v>13583.200000000004</v>
      </c>
      <c r="F588" s="501"/>
      <c r="G588" s="501"/>
      <c r="H588" s="501"/>
      <c r="I588" s="501"/>
    </row>
    <row r="589" spans="1:13">
      <c r="A589" s="124"/>
      <c r="B589" s="959" t="s">
        <v>300</v>
      </c>
      <c r="C589" s="960"/>
      <c r="D589" s="489">
        <f>SUMIF($C$8:$C$584,"ES",$D$8:$D$584)</f>
        <v>6062.7000000000007</v>
      </c>
      <c r="E589" s="489">
        <f>SUMIF($C$8:$C$584,"ES",$E$8:$E$584)</f>
        <v>3919.0000000000005</v>
      </c>
      <c r="F589" s="501"/>
      <c r="G589" s="501"/>
      <c r="H589" s="501"/>
      <c r="I589" s="501"/>
    </row>
    <row r="590" spans="1:13">
      <c r="A590" s="124"/>
      <c r="B590" s="959" t="s">
        <v>301</v>
      </c>
      <c r="C590" s="960"/>
      <c r="D590" s="489">
        <f>SUMIF($C$8:$C$579,"SAARS",$D$8:$D$579)</f>
        <v>475.40000000000003</v>
      </c>
      <c r="E590" s="489">
        <f>SUMIF($C$8:$C$584,"SAARS",$E$8:$E$584)</f>
        <v>373.70000000000005</v>
      </c>
      <c r="F590" s="501"/>
      <c r="G590" s="501"/>
      <c r="H590" s="501"/>
      <c r="I590" s="501"/>
    </row>
    <row r="591" spans="1:13">
      <c r="A591" s="124"/>
      <c r="B591" s="959" t="s">
        <v>302</v>
      </c>
      <c r="C591" s="960"/>
      <c r="D591" s="489">
        <f>SUMIF($C$8:$C$579,"KPPP",$D$8:$D$579)</f>
        <v>990.59999999999991</v>
      </c>
      <c r="E591" s="489">
        <f>SUMIF($C$8:$C$584,"KPPP",$E$8:$E$584)</f>
        <v>2026.0999999999997</v>
      </c>
      <c r="F591" s="501"/>
      <c r="G591" s="501"/>
      <c r="H591" s="501"/>
      <c r="I591" s="501"/>
    </row>
    <row r="592" spans="1:13">
      <c r="A592" s="124"/>
      <c r="B592" s="964" t="s">
        <v>303</v>
      </c>
      <c r="C592" s="965"/>
      <c r="D592" s="489">
        <f>SUMIF($C$8:$C$579,"UF",$D$8:$D$579)</f>
        <v>0</v>
      </c>
      <c r="E592" s="489">
        <f>SUMIF($C$8:$C$584,"UF",$E$8:$E$584)</f>
        <v>0</v>
      </c>
      <c r="F592" s="501"/>
      <c r="G592" s="501"/>
      <c r="H592" s="501"/>
      <c r="I592" s="501"/>
    </row>
    <row r="593" spans="1:9">
      <c r="A593" s="124"/>
      <c r="B593" s="959" t="s">
        <v>304</v>
      </c>
      <c r="C593" s="960"/>
      <c r="D593" s="489">
        <f>SUMIF($C$8:$C$584,"VB",$D$8:$D$584)</f>
        <v>11425.499999999998</v>
      </c>
      <c r="E593" s="489">
        <f>SUMIF($C$8:$C$584,"VB",$E$8:$E$584)</f>
        <v>10065.430000000002</v>
      </c>
      <c r="F593" s="501"/>
      <c r="G593" s="501"/>
      <c r="H593" s="501"/>
      <c r="I593" s="501"/>
    </row>
    <row r="594" spans="1:9">
      <c r="A594" s="124"/>
      <c r="B594" s="959" t="s">
        <v>544</v>
      </c>
      <c r="C594" s="960"/>
      <c r="D594" s="489">
        <f>SUMIF($C$8:$C$584,"SL",$D$8:$D$584)</f>
        <v>0</v>
      </c>
      <c r="E594" s="489">
        <f>SUMIF($C$8:$C$584,"SL",$E$8:$E$584)</f>
        <v>1490</v>
      </c>
      <c r="F594" s="501"/>
      <c r="G594" s="501"/>
      <c r="H594" s="501"/>
      <c r="I594" s="501"/>
    </row>
    <row r="595" spans="1:9" ht="30" customHeight="1">
      <c r="A595" s="124"/>
      <c r="B595" s="959" t="s">
        <v>305</v>
      </c>
      <c r="C595" s="960"/>
      <c r="D595" s="489">
        <f>SUMIF($C$8:$C$579,"KL",$D$8:$D$579)</f>
        <v>30</v>
      </c>
      <c r="E595" s="489">
        <f>SUMIF($C$8:$C$584,"KL",$E$8:$E$584)</f>
        <v>101.18</v>
      </c>
      <c r="F595" s="501"/>
      <c r="G595" s="501"/>
      <c r="H595" s="501"/>
      <c r="I595" s="501"/>
    </row>
    <row r="596" spans="1:9" ht="30" customHeight="1" thickBot="1">
      <c r="A596" s="124"/>
      <c r="B596" s="968" t="s">
        <v>306</v>
      </c>
      <c r="C596" s="969"/>
      <c r="D596" s="490">
        <f>SUMIF($C$8:$C$579,"TPP",$D$8:$D$579)</f>
        <v>1656.1999999999998</v>
      </c>
      <c r="E596" s="490">
        <f>SUMIF($C$8:$C$584,"TPP",$E$8:$E$584)</f>
        <v>1271.1999999999998</v>
      </c>
      <c r="F596" s="501"/>
      <c r="G596" s="501"/>
      <c r="H596" s="501"/>
      <c r="I596" s="501"/>
    </row>
    <row r="597" spans="1:9" ht="15" thickBot="1">
      <c r="A597" s="124"/>
      <c r="B597" s="957" t="s">
        <v>396</v>
      </c>
      <c r="C597" s="958"/>
      <c r="D597" s="173">
        <f>SUM(D587:D596)</f>
        <v>62752.399999999994</v>
      </c>
      <c r="E597" s="173">
        <f>SUM(E587:E596)</f>
        <v>60418.610000000008</v>
      </c>
      <c r="F597" s="125">
        <f>E597/D597</f>
        <v>0.96280954991362899</v>
      </c>
      <c r="G597" s="436"/>
      <c r="H597" s="436"/>
      <c r="I597" s="436"/>
    </row>
    <row r="598" spans="1:9">
      <c r="A598" s="124"/>
      <c r="B598" s="437"/>
      <c r="C598" s="437"/>
      <c r="D598" s="437"/>
      <c r="E598" s="437"/>
      <c r="F598" s="438"/>
      <c r="G598" s="439"/>
      <c r="H598" s="436"/>
      <c r="I598" s="436"/>
    </row>
    <row r="599" spans="1:9">
      <c r="A599" s="2"/>
      <c r="B599" s="2"/>
      <c r="C599" s="2"/>
      <c r="D599" s="137"/>
      <c r="E599" s="137"/>
      <c r="F599" s="2"/>
      <c r="G599" s="2"/>
      <c r="H599" s="2"/>
      <c r="I599" s="2"/>
    </row>
  </sheetData>
  <autoFilter ref="E1:E599" xr:uid="{4C733A81-FD88-409D-AA8B-C88AFCFD42F3}"/>
  <mergeCells count="749">
    <mergeCell ref="F271:I271"/>
    <mergeCell ref="F268:I268"/>
    <mergeCell ref="B12:B15"/>
    <mergeCell ref="A12:A15"/>
    <mergeCell ref="F182:I182"/>
    <mergeCell ref="A180:A181"/>
    <mergeCell ref="B180:B181"/>
    <mergeCell ref="A195:A197"/>
    <mergeCell ref="B195:B197"/>
    <mergeCell ref="A198:A200"/>
    <mergeCell ref="A191:A194"/>
    <mergeCell ref="B191:B194"/>
    <mergeCell ref="C191:C194"/>
    <mergeCell ref="D191:D194"/>
    <mergeCell ref="F97:I98"/>
    <mergeCell ref="F99:F100"/>
    <mergeCell ref="A127:A128"/>
    <mergeCell ref="B127:B128"/>
    <mergeCell ref="A138:A140"/>
    <mergeCell ref="B138:B140"/>
    <mergeCell ref="C138:C139"/>
    <mergeCell ref="D138:D139"/>
    <mergeCell ref="D175:D176"/>
    <mergeCell ref="A178:A179"/>
    <mergeCell ref="G442:G443"/>
    <mergeCell ref="H442:H443"/>
    <mergeCell ref="I34:I35"/>
    <mergeCell ref="I46:I51"/>
    <mergeCell ref="I281:I282"/>
    <mergeCell ref="H454:H455"/>
    <mergeCell ref="I383:I384"/>
    <mergeCell ref="I391:I393"/>
    <mergeCell ref="I449:I450"/>
    <mergeCell ref="F448:I448"/>
    <mergeCell ref="I415:I416"/>
    <mergeCell ref="I394:I397"/>
    <mergeCell ref="I386:I389"/>
    <mergeCell ref="I444:I447"/>
    <mergeCell ref="F444:F447"/>
    <mergeCell ref="F424:F425"/>
    <mergeCell ref="F292:I292"/>
    <mergeCell ref="F365:I365"/>
    <mergeCell ref="H356:H359"/>
    <mergeCell ref="F279:I279"/>
    <mergeCell ref="I306:I311"/>
    <mergeCell ref="I320:I321"/>
    <mergeCell ref="I322:I325"/>
    <mergeCell ref="F217:I217"/>
    <mergeCell ref="I328:I330"/>
    <mergeCell ref="I331:I334"/>
    <mergeCell ref="I350:I351"/>
    <mergeCell ref="I326:I327"/>
    <mergeCell ref="F278:I278"/>
    <mergeCell ref="I363:I364"/>
    <mergeCell ref="I286:I288"/>
    <mergeCell ref="J51:M51"/>
    <mergeCell ref="I460:I461"/>
    <mergeCell ref="F356:F359"/>
    <mergeCell ref="G356:G359"/>
    <mergeCell ref="I354:I355"/>
    <mergeCell ref="I424:I426"/>
    <mergeCell ref="F454:F455"/>
    <mergeCell ref="H437:H438"/>
    <mergeCell ref="I437:I438"/>
    <mergeCell ref="I432:I434"/>
    <mergeCell ref="F291:I291"/>
    <mergeCell ref="H444:H447"/>
    <mergeCell ref="F442:F443"/>
    <mergeCell ref="F366:I366"/>
    <mergeCell ref="F274:I274"/>
    <mergeCell ref="F284:I284"/>
    <mergeCell ref="I191:I194"/>
    <mergeCell ref="F360:I360"/>
    <mergeCell ref="G424:G425"/>
    <mergeCell ref="H424:H425"/>
    <mergeCell ref="G444:G447"/>
    <mergeCell ref="I178:I179"/>
    <mergeCell ref="F336:I336"/>
    <mergeCell ref="I348:I349"/>
    <mergeCell ref="I299:I302"/>
    <mergeCell ref="I312:I319"/>
    <mergeCell ref="F234:I234"/>
    <mergeCell ref="I246:I247"/>
    <mergeCell ref="F252:I252"/>
    <mergeCell ref="F238:I238"/>
    <mergeCell ref="I241:I243"/>
    <mergeCell ref="I266:I267"/>
    <mergeCell ref="I218:I219"/>
    <mergeCell ref="F231:I231"/>
    <mergeCell ref="F223:I223"/>
    <mergeCell ref="F422:F423"/>
    <mergeCell ref="G422:G423"/>
    <mergeCell ref="H422:H423"/>
    <mergeCell ref="F427:F428"/>
    <mergeCell ref="G427:G428"/>
    <mergeCell ref="I441:I443"/>
    <mergeCell ref="F583:F584"/>
    <mergeCell ref="G583:G584"/>
    <mergeCell ref="H583:H584"/>
    <mergeCell ref="I583:I584"/>
    <mergeCell ref="H581:H582"/>
    <mergeCell ref="I581:I582"/>
    <mergeCell ref="I492:I494"/>
    <mergeCell ref="I463:I465"/>
    <mergeCell ref="F186:I186"/>
    <mergeCell ref="I213:I215"/>
    <mergeCell ref="F196:F197"/>
    <mergeCell ref="G196:G197"/>
    <mergeCell ref="H196:H197"/>
    <mergeCell ref="I195:I197"/>
    <mergeCell ref="F212:I212"/>
    <mergeCell ref="F210:I210"/>
    <mergeCell ref="F211:I211"/>
    <mergeCell ref="H451:H452"/>
    <mergeCell ref="F462:I462"/>
    <mergeCell ref="G454:G455"/>
    <mergeCell ref="F453:I453"/>
    <mergeCell ref="I451:I452"/>
    <mergeCell ref="I457:I458"/>
    <mergeCell ref="F451:F452"/>
    <mergeCell ref="F579:I579"/>
    <mergeCell ref="F564:I564"/>
    <mergeCell ref="F578:I578"/>
    <mergeCell ref="F557:I557"/>
    <mergeCell ref="F571:I571"/>
    <mergeCell ref="F572:I572"/>
    <mergeCell ref="F567:I567"/>
    <mergeCell ref="F568:I568"/>
    <mergeCell ref="F560:I560"/>
    <mergeCell ref="I561:I562"/>
    <mergeCell ref="F563:I563"/>
    <mergeCell ref="A521:A525"/>
    <mergeCell ref="I550:I551"/>
    <mergeCell ref="I501:I503"/>
    <mergeCell ref="I521:I526"/>
    <mergeCell ref="E506:E507"/>
    <mergeCell ref="A528:A530"/>
    <mergeCell ref="A536:A537"/>
    <mergeCell ref="B536:B537"/>
    <mergeCell ref="C536:C537"/>
    <mergeCell ref="D536:D537"/>
    <mergeCell ref="E536:E537"/>
    <mergeCell ref="C501:C503"/>
    <mergeCell ref="E501:E503"/>
    <mergeCell ref="F520:I520"/>
    <mergeCell ref="F548:I548"/>
    <mergeCell ref="I509:I515"/>
    <mergeCell ref="F519:I519"/>
    <mergeCell ref="I516:I518"/>
    <mergeCell ref="E516:E517"/>
    <mergeCell ref="A504:A507"/>
    <mergeCell ref="B504:B507"/>
    <mergeCell ref="C504:C505"/>
    <mergeCell ref="D499:D500"/>
    <mergeCell ref="C575:C576"/>
    <mergeCell ref="D575:D576"/>
    <mergeCell ref="E575:E576"/>
    <mergeCell ref="E504:E505"/>
    <mergeCell ref="E521:E525"/>
    <mergeCell ref="C521:C525"/>
    <mergeCell ref="D539:D540"/>
    <mergeCell ref="D521:D525"/>
    <mergeCell ref="E539:E540"/>
    <mergeCell ref="C531:C533"/>
    <mergeCell ref="D531:D533"/>
    <mergeCell ref="D528:D530"/>
    <mergeCell ref="E528:E530"/>
    <mergeCell ref="D550:D551"/>
    <mergeCell ref="E550:E551"/>
    <mergeCell ref="D501:D503"/>
    <mergeCell ref="E509:E515"/>
    <mergeCell ref="E553:E556"/>
    <mergeCell ref="D504:D505"/>
    <mergeCell ref="C506:C507"/>
    <mergeCell ref="D506:D507"/>
    <mergeCell ref="D509:D515"/>
    <mergeCell ref="D516:D517"/>
    <mergeCell ref="F581:F582"/>
    <mergeCell ref="B573:B574"/>
    <mergeCell ref="G581:G582"/>
    <mergeCell ref="E531:E533"/>
    <mergeCell ref="A531:A533"/>
    <mergeCell ref="F549:I549"/>
    <mergeCell ref="A553:A556"/>
    <mergeCell ref="B553:B556"/>
    <mergeCell ref="C553:C556"/>
    <mergeCell ref="A539:A540"/>
    <mergeCell ref="B539:B540"/>
    <mergeCell ref="A550:A551"/>
    <mergeCell ref="B550:B551"/>
    <mergeCell ref="C550:C551"/>
    <mergeCell ref="G573:G574"/>
    <mergeCell ref="H573:H574"/>
    <mergeCell ref="I573:I574"/>
    <mergeCell ref="I575:I576"/>
    <mergeCell ref="F573:F574"/>
    <mergeCell ref="A575:A576"/>
    <mergeCell ref="B575:B576"/>
    <mergeCell ref="D553:D556"/>
    <mergeCell ref="B531:B533"/>
    <mergeCell ref="I553:I556"/>
    <mergeCell ref="A356:A359"/>
    <mergeCell ref="B356:B359"/>
    <mergeCell ref="I356:I359"/>
    <mergeCell ref="I372:I373"/>
    <mergeCell ref="I406:I409"/>
    <mergeCell ref="A386:A389"/>
    <mergeCell ref="B386:B389"/>
    <mergeCell ref="C386:C389"/>
    <mergeCell ref="D386:D389"/>
    <mergeCell ref="E386:E389"/>
    <mergeCell ref="E367:E371"/>
    <mergeCell ref="B374:B377"/>
    <mergeCell ref="A363:A364"/>
    <mergeCell ref="B363:B364"/>
    <mergeCell ref="A378:A380"/>
    <mergeCell ref="B378:B380"/>
    <mergeCell ref="C378:C380"/>
    <mergeCell ref="D378:D380"/>
    <mergeCell ref="E378:E380"/>
    <mergeCell ref="E391:E393"/>
    <mergeCell ref="E400:E405"/>
    <mergeCell ref="A394:A397"/>
    <mergeCell ref="E394:E397"/>
    <mergeCell ref="D406:D409"/>
    <mergeCell ref="A481:A482"/>
    <mergeCell ref="B481:B482"/>
    <mergeCell ref="C367:C371"/>
    <mergeCell ref="D367:D371"/>
    <mergeCell ref="A454:A456"/>
    <mergeCell ref="A467:A468"/>
    <mergeCell ref="B467:B468"/>
    <mergeCell ref="D463:D464"/>
    <mergeCell ref="B394:B397"/>
    <mergeCell ref="C394:C397"/>
    <mergeCell ref="D391:D393"/>
    <mergeCell ref="A463:A465"/>
    <mergeCell ref="B463:B465"/>
    <mergeCell ref="A457:A458"/>
    <mergeCell ref="B457:B458"/>
    <mergeCell ref="C457:C458"/>
    <mergeCell ref="D432:D434"/>
    <mergeCell ref="B432:B434"/>
    <mergeCell ref="A444:A447"/>
    <mergeCell ref="B444:B447"/>
    <mergeCell ref="A400:A405"/>
    <mergeCell ref="B400:B405"/>
    <mergeCell ref="C400:C405"/>
    <mergeCell ref="D400:D405"/>
    <mergeCell ref="E432:E434"/>
    <mergeCell ref="E415:E416"/>
    <mergeCell ref="C463:C464"/>
    <mergeCell ref="A451:A452"/>
    <mergeCell ref="B451:B452"/>
    <mergeCell ref="A432:A434"/>
    <mergeCell ref="A441:A443"/>
    <mergeCell ref="B441:B443"/>
    <mergeCell ref="B435:B436"/>
    <mergeCell ref="A421:A423"/>
    <mergeCell ref="B421:B423"/>
    <mergeCell ref="B454:B456"/>
    <mergeCell ref="A354:A355"/>
    <mergeCell ref="B354:B355"/>
    <mergeCell ref="B350:B351"/>
    <mergeCell ref="D457:D458"/>
    <mergeCell ref="E457:E458"/>
    <mergeCell ref="A460:A461"/>
    <mergeCell ref="B460:B461"/>
    <mergeCell ref="A435:A436"/>
    <mergeCell ref="A449:A450"/>
    <mergeCell ref="B449:B450"/>
    <mergeCell ref="D415:D416"/>
    <mergeCell ref="A413:A414"/>
    <mergeCell ref="B413:B414"/>
    <mergeCell ref="A418:A420"/>
    <mergeCell ref="A415:A416"/>
    <mergeCell ref="B415:B416"/>
    <mergeCell ref="C415:C416"/>
    <mergeCell ref="A427:A429"/>
    <mergeCell ref="B427:B429"/>
    <mergeCell ref="A437:A438"/>
    <mergeCell ref="B437:B438"/>
    <mergeCell ref="E435:E436"/>
    <mergeCell ref="C435:C436"/>
    <mergeCell ref="D435:D436"/>
    <mergeCell ref="F207:I207"/>
    <mergeCell ref="F183:I183"/>
    <mergeCell ref="F184:I184"/>
    <mergeCell ref="I180:I181"/>
    <mergeCell ref="A406:A409"/>
    <mergeCell ref="C391:C393"/>
    <mergeCell ref="A213:A215"/>
    <mergeCell ref="B213:B215"/>
    <mergeCell ref="C213:C215"/>
    <mergeCell ref="D213:D215"/>
    <mergeCell ref="D224:D225"/>
    <mergeCell ref="A244:A245"/>
    <mergeCell ref="A281:A282"/>
    <mergeCell ref="A350:A351"/>
    <mergeCell ref="B295:B298"/>
    <mergeCell ref="C295:C298"/>
    <mergeCell ref="D295:D298"/>
    <mergeCell ref="C286:C288"/>
    <mergeCell ref="D286:D288"/>
    <mergeCell ref="A286:A288"/>
    <mergeCell ref="B286:B288"/>
    <mergeCell ref="C372:C373"/>
    <mergeCell ref="D372:D373"/>
    <mergeCell ref="D241:D243"/>
    <mergeCell ref="B281:B282"/>
    <mergeCell ref="C281:C282"/>
    <mergeCell ref="D281:D282"/>
    <mergeCell ref="E281:E282"/>
    <mergeCell ref="I272:I273"/>
    <mergeCell ref="E191:E194"/>
    <mergeCell ref="E213:E215"/>
    <mergeCell ref="E162:E163"/>
    <mergeCell ref="C269:C270"/>
    <mergeCell ref="D269:D270"/>
    <mergeCell ref="E269:E270"/>
    <mergeCell ref="D258:D259"/>
    <mergeCell ref="B198:B200"/>
    <mergeCell ref="H198:H199"/>
    <mergeCell ref="E232:E233"/>
    <mergeCell ref="E224:E225"/>
    <mergeCell ref="F229:I229"/>
    <mergeCell ref="F230:I230"/>
    <mergeCell ref="I232:I233"/>
    <mergeCell ref="B178:B179"/>
    <mergeCell ref="C178:C179"/>
    <mergeCell ref="I198:I200"/>
    <mergeCell ref="I201:I203"/>
    <mergeCell ref="F206:I206"/>
    <mergeCell ref="A348:A349"/>
    <mergeCell ref="B348:B349"/>
    <mergeCell ref="E348:E349"/>
    <mergeCell ref="C348:C349"/>
    <mergeCell ref="D348:D349"/>
    <mergeCell ref="A295:A298"/>
    <mergeCell ref="B299:B320"/>
    <mergeCell ref="A299:A320"/>
    <mergeCell ref="C299:C320"/>
    <mergeCell ref="D299:D319"/>
    <mergeCell ref="E299:E319"/>
    <mergeCell ref="E295:E298"/>
    <mergeCell ref="B597:C597"/>
    <mergeCell ref="B589:C589"/>
    <mergeCell ref="B590:C590"/>
    <mergeCell ref="A585:C585"/>
    <mergeCell ref="B591:C591"/>
    <mergeCell ref="B592:C592"/>
    <mergeCell ref="B593:C593"/>
    <mergeCell ref="B594:C594"/>
    <mergeCell ref="B587:C587"/>
    <mergeCell ref="B588:C588"/>
    <mergeCell ref="B596:C596"/>
    <mergeCell ref="B595:C595"/>
    <mergeCell ref="A583:A584"/>
    <mergeCell ref="B583:B584"/>
    <mergeCell ref="A499:A500"/>
    <mergeCell ref="A489:A490"/>
    <mergeCell ref="A573:A574"/>
    <mergeCell ref="C528:C530"/>
    <mergeCell ref="B499:B500"/>
    <mergeCell ref="C499:C500"/>
    <mergeCell ref="B528:B530"/>
    <mergeCell ref="B521:B525"/>
    <mergeCell ref="B516:B518"/>
    <mergeCell ref="A501:A503"/>
    <mergeCell ref="A509:A515"/>
    <mergeCell ref="B509:B515"/>
    <mergeCell ref="C509:C515"/>
    <mergeCell ref="B489:B490"/>
    <mergeCell ref="A516:A518"/>
    <mergeCell ref="A492:A494"/>
    <mergeCell ref="B492:B494"/>
    <mergeCell ref="C516:C517"/>
    <mergeCell ref="A581:A582"/>
    <mergeCell ref="B581:B582"/>
    <mergeCell ref="C539:C540"/>
    <mergeCell ref="B501:B503"/>
    <mergeCell ref="F293:I293"/>
    <mergeCell ref="I303:I305"/>
    <mergeCell ref="F216:I216"/>
    <mergeCell ref="E463:E464"/>
    <mergeCell ref="I504:I507"/>
    <mergeCell ref="F491:I491"/>
    <mergeCell ref="I481:I482"/>
    <mergeCell ref="F481:F482"/>
    <mergeCell ref="G481:G482"/>
    <mergeCell ref="H481:H482"/>
    <mergeCell ref="F485:I485"/>
    <mergeCell ref="F486:I486"/>
    <mergeCell ref="I489:I490"/>
    <mergeCell ref="F480:I480"/>
    <mergeCell ref="E499:E500"/>
    <mergeCell ref="G451:G452"/>
    <mergeCell ref="F495:I495"/>
    <mergeCell ref="F496:I496"/>
    <mergeCell ref="F497:I497"/>
    <mergeCell ref="I454:I456"/>
    <mergeCell ref="F469:I469"/>
    <mergeCell ref="I467:I468"/>
    <mergeCell ref="F498:I498"/>
    <mergeCell ref="E286:E288"/>
    <mergeCell ref="I499:I500"/>
    <mergeCell ref="F492:F493"/>
    <mergeCell ref="G492:G493"/>
    <mergeCell ref="F479:I479"/>
    <mergeCell ref="F474:I474"/>
    <mergeCell ref="H492:H493"/>
    <mergeCell ref="I71:I72"/>
    <mergeCell ref="F171:I171"/>
    <mergeCell ref="F96:I96"/>
    <mergeCell ref="F127:F128"/>
    <mergeCell ref="G127:G128"/>
    <mergeCell ref="H127:H128"/>
    <mergeCell ref="I155:I156"/>
    <mergeCell ref="F157:I157"/>
    <mergeCell ref="F159:I159"/>
    <mergeCell ref="I162:I163"/>
    <mergeCell ref="F115:I115"/>
    <mergeCell ref="F129:I129"/>
    <mergeCell ref="F133:I134"/>
    <mergeCell ref="I147:I148"/>
    <mergeCell ref="I127:I128"/>
    <mergeCell ref="I138:I140"/>
    <mergeCell ref="F198:F199"/>
    <mergeCell ref="G198:G199"/>
    <mergeCell ref="E138:E139"/>
    <mergeCell ref="I99:I100"/>
    <mergeCell ref="G99:G100"/>
    <mergeCell ref="H99:H100"/>
    <mergeCell ref="E97:E98"/>
    <mergeCell ref="F175:I176"/>
    <mergeCell ref="F174:I174"/>
    <mergeCell ref="D88:D89"/>
    <mergeCell ref="E88:E89"/>
    <mergeCell ref="I88:I89"/>
    <mergeCell ref="I145:I146"/>
    <mergeCell ref="F130:F131"/>
    <mergeCell ref="G130:G131"/>
    <mergeCell ref="H130:H131"/>
    <mergeCell ref="I130:I132"/>
    <mergeCell ref="F154:I154"/>
    <mergeCell ref="F160:I160"/>
    <mergeCell ref="I172:I173"/>
    <mergeCell ref="F167:I167"/>
    <mergeCell ref="F168:I168"/>
    <mergeCell ref="A155:A156"/>
    <mergeCell ref="C172:C173"/>
    <mergeCell ref="D172:D173"/>
    <mergeCell ref="E172:E173"/>
    <mergeCell ref="I151:I152"/>
    <mergeCell ref="F150:I150"/>
    <mergeCell ref="A143:A144"/>
    <mergeCell ref="B143:B144"/>
    <mergeCell ref="C143:C144"/>
    <mergeCell ref="D143:D144"/>
    <mergeCell ref="E143:E144"/>
    <mergeCell ref="I143:I144"/>
    <mergeCell ref="A145:A146"/>
    <mergeCell ref="B145:B146"/>
    <mergeCell ref="C145:C146"/>
    <mergeCell ref="D145:D146"/>
    <mergeCell ref="E145:E146"/>
    <mergeCell ref="A130:A131"/>
    <mergeCell ref="D178:D179"/>
    <mergeCell ref="E178:E179"/>
    <mergeCell ref="B172:B173"/>
    <mergeCell ref="B162:B163"/>
    <mergeCell ref="E175:E176"/>
    <mergeCell ref="D133:D134"/>
    <mergeCell ref="E133:E134"/>
    <mergeCell ref="A151:A152"/>
    <mergeCell ref="B151:B152"/>
    <mergeCell ref="A147:A148"/>
    <mergeCell ref="B147:B148"/>
    <mergeCell ref="C147:C148"/>
    <mergeCell ref="D147:D148"/>
    <mergeCell ref="E147:E148"/>
    <mergeCell ref="A172:A173"/>
    <mergeCell ref="A162:A163"/>
    <mergeCell ref="C162:C163"/>
    <mergeCell ref="D162:D163"/>
    <mergeCell ref="A175:A176"/>
    <mergeCell ref="B175:B176"/>
    <mergeCell ref="C175:C176"/>
    <mergeCell ref="B155:B156"/>
    <mergeCell ref="B130:B131"/>
    <mergeCell ref="A135:A136"/>
    <mergeCell ref="B135:B136"/>
    <mergeCell ref="C135:C136"/>
    <mergeCell ref="D135:D136"/>
    <mergeCell ref="E135:E136"/>
    <mergeCell ref="I135:I136"/>
    <mergeCell ref="A133:A134"/>
    <mergeCell ref="B133:B134"/>
    <mergeCell ref="C133:C134"/>
    <mergeCell ref="A119:A122"/>
    <mergeCell ref="B119:B122"/>
    <mergeCell ref="I119:I122"/>
    <mergeCell ref="C119:C120"/>
    <mergeCell ref="D119:D120"/>
    <mergeCell ref="E119:E120"/>
    <mergeCell ref="F117:I117"/>
    <mergeCell ref="F118:I118"/>
    <mergeCell ref="D85:D87"/>
    <mergeCell ref="E85:E87"/>
    <mergeCell ref="I85:I87"/>
    <mergeCell ref="E90:E91"/>
    <mergeCell ref="I90:I91"/>
    <mergeCell ref="C90:C91"/>
    <mergeCell ref="D90:D91"/>
    <mergeCell ref="F108:I108"/>
    <mergeCell ref="A97:A98"/>
    <mergeCell ref="B97:B98"/>
    <mergeCell ref="C97:C98"/>
    <mergeCell ref="D97:D98"/>
    <mergeCell ref="A99:A100"/>
    <mergeCell ref="B99:B100"/>
    <mergeCell ref="F92:I92"/>
    <mergeCell ref="A90:A91"/>
    <mergeCell ref="B90:B91"/>
    <mergeCell ref="I93:I94"/>
    <mergeCell ref="A88:A89"/>
    <mergeCell ref="B88:B89"/>
    <mergeCell ref="C88:C89"/>
    <mergeCell ref="F84:I84"/>
    <mergeCell ref="A85:A87"/>
    <mergeCell ref="B85:B87"/>
    <mergeCell ref="C85:C87"/>
    <mergeCell ref="A93:A94"/>
    <mergeCell ref="B93:B94"/>
    <mergeCell ref="C93:C94"/>
    <mergeCell ref="D93:D94"/>
    <mergeCell ref="E93:E94"/>
    <mergeCell ref="C65:C68"/>
    <mergeCell ref="D65:D68"/>
    <mergeCell ref="E65:E68"/>
    <mergeCell ref="I65:I69"/>
    <mergeCell ref="B65:B69"/>
    <mergeCell ref="A65:A69"/>
    <mergeCell ref="I74:I76"/>
    <mergeCell ref="F70:I70"/>
    <mergeCell ref="A71:A72"/>
    <mergeCell ref="B71:B72"/>
    <mergeCell ref="F77:I77"/>
    <mergeCell ref="F78:I78"/>
    <mergeCell ref="A79:A83"/>
    <mergeCell ref="B79:B83"/>
    <mergeCell ref="I79:I83"/>
    <mergeCell ref="C81:C83"/>
    <mergeCell ref="D81:D83"/>
    <mergeCell ref="E81:E83"/>
    <mergeCell ref="F73:I73"/>
    <mergeCell ref="A74:A76"/>
    <mergeCell ref="B74:B76"/>
    <mergeCell ref="A32:A33"/>
    <mergeCell ref="B32:B33"/>
    <mergeCell ref="I32:I33"/>
    <mergeCell ref="A34:A35"/>
    <mergeCell ref="B34:B35"/>
    <mergeCell ref="C34:C35"/>
    <mergeCell ref="D34:D35"/>
    <mergeCell ref="E34:E35"/>
    <mergeCell ref="C32:C33"/>
    <mergeCell ref="D32:D33"/>
    <mergeCell ref="E32:E33"/>
    <mergeCell ref="F53:I53"/>
    <mergeCell ref="A54:A56"/>
    <mergeCell ref="B54:B56"/>
    <mergeCell ref="C54:C55"/>
    <mergeCell ref="D54:D55"/>
    <mergeCell ref="E54:E55"/>
    <mergeCell ref="I54:I56"/>
    <mergeCell ref="F58:I58"/>
    <mergeCell ref="I59:I63"/>
    <mergeCell ref="C59:C60"/>
    <mergeCell ref="D59:D60"/>
    <mergeCell ref="E59:E60"/>
    <mergeCell ref="A59:A63"/>
    <mergeCell ref="B59:B63"/>
    <mergeCell ref="C62:C63"/>
    <mergeCell ref="D62:D63"/>
    <mergeCell ref="E62:E63"/>
    <mergeCell ref="A218:A219"/>
    <mergeCell ref="B241:B243"/>
    <mergeCell ref="C261:C263"/>
    <mergeCell ref="A246:A247"/>
    <mergeCell ref="A258:A260"/>
    <mergeCell ref="B258:B260"/>
    <mergeCell ref="C258:C259"/>
    <mergeCell ref="B244:B245"/>
    <mergeCell ref="A261:A263"/>
    <mergeCell ref="C224:C225"/>
    <mergeCell ref="B224:B225"/>
    <mergeCell ref="B235:B237"/>
    <mergeCell ref="A46:A47"/>
    <mergeCell ref="B46:B47"/>
    <mergeCell ref="C46:C47"/>
    <mergeCell ref="D46:D47"/>
    <mergeCell ref="E46:E47"/>
    <mergeCell ref="A48:A50"/>
    <mergeCell ref="B48:B50"/>
    <mergeCell ref="C48:C50"/>
    <mergeCell ref="D48:D50"/>
    <mergeCell ref="E48:E50"/>
    <mergeCell ref="F45:I45"/>
    <mergeCell ref="F64:I64"/>
    <mergeCell ref="F52:I52"/>
    <mergeCell ref="A383:A384"/>
    <mergeCell ref="B406:B409"/>
    <mergeCell ref="C406:C409"/>
    <mergeCell ref="B372:B373"/>
    <mergeCell ref="A201:A203"/>
    <mergeCell ref="B201:B203"/>
    <mergeCell ref="F201:F202"/>
    <mergeCell ref="G201:G202"/>
    <mergeCell ref="H201:H202"/>
    <mergeCell ref="C246:C247"/>
    <mergeCell ref="C187:C189"/>
    <mergeCell ref="A187:A190"/>
    <mergeCell ref="B187:B190"/>
    <mergeCell ref="D187:D189"/>
    <mergeCell ref="E187:E189"/>
    <mergeCell ref="B218:B219"/>
    <mergeCell ref="F220:I220"/>
    <mergeCell ref="D232:D233"/>
    <mergeCell ref="A391:A393"/>
    <mergeCell ref="B391:B393"/>
    <mergeCell ref="D383:D384"/>
    <mergeCell ref="C6:I6"/>
    <mergeCell ref="F9:I9"/>
    <mergeCell ref="F10:I10"/>
    <mergeCell ref="F11:I11"/>
    <mergeCell ref="C12:C15"/>
    <mergeCell ref="D12:D15"/>
    <mergeCell ref="E12:E15"/>
    <mergeCell ref="F12:I15"/>
    <mergeCell ref="G16:G18"/>
    <mergeCell ref="H16:H18"/>
    <mergeCell ref="A17:A18"/>
    <mergeCell ref="B17:B18"/>
    <mergeCell ref="I17:I18"/>
    <mergeCell ref="F28:I28"/>
    <mergeCell ref="A29:A31"/>
    <mergeCell ref="B29:B31"/>
    <mergeCell ref="C29:C31"/>
    <mergeCell ref="D29:D31"/>
    <mergeCell ref="F16:F18"/>
    <mergeCell ref="F21:I21"/>
    <mergeCell ref="A22:A24"/>
    <mergeCell ref="B22:B24"/>
    <mergeCell ref="C22:C24"/>
    <mergeCell ref="D22:D24"/>
    <mergeCell ref="E22:E24"/>
    <mergeCell ref="F22:I24"/>
    <mergeCell ref="B26:B27"/>
    <mergeCell ref="I26:I27"/>
    <mergeCell ref="E29:E31"/>
    <mergeCell ref="F29:I31"/>
    <mergeCell ref="F25:F27"/>
    <mergeCell ref="G25:G27"/>
    <mergeCell ref="H25:H27"/>
    <mergeCell ref="A26:A27"/>
    <mergeCell ref="I224:I225"/>
    <mergeCell ref="A241:A243"/>
    <mergeCell ref="E235:E237"/>
    <mergeCell ref="A235:A237"/>
    <mergeCell ref="E241:E243"/>
    <mergeCell ref="C241:C243"/>
    <mergeCell ref="I235:I237"/>
    <mergeCell ref="C235:C237"/>
    <mergeCell ref="D235:D237"/>
    <mergeCell ref="F239:I239"/>
    <mergeCell ref="A224:A225"/>
    <mergeCell ref="I400:I405"/>
    <mergeCell ref="C432:C434"/>
    <mergeCell ref="A424:A426"/>
    <mergeCell ref="B424:B426"/>
    <mergeCell ref="C232:C233"/>
    <mergeCell ref="A232:A233"/>
    <mergeCell ref="F226:I226"/>
    <mergeCell ref="B232:B233"/>
    <mergeCell ref="F244:F245"/>
    <mergeCell ref="I244:I245"/>
    <mergeCell ref="H244:H245"/>
    <mergeCell ref="B246:B247"/>
    <mergeCell ref="B261:B263"/>
    <mergeCell ref="E261:E263"/>
    <mergeCell ref="D246:D247"/>
    <mergeCell ref="E246:E247"/>
    <mergeCell ref="E258:E259"/>
    <mergeCell ref="D261:D263"/>
    <mergeCell ref="F255:I255"/>
    <mergeCell ref="F253:I253"/>
    <mergeCell ref="G244:G245"/>
    <mergeCell ref="E372:E373"/>
    <mergeCell ref="A372:A373"/>
    <mergeCell ref="I295:I298"/>
    <mergeCell ref="I435:I436"/>
    <mergeCell ref="A272:A273"/>
    <mergeCell ref="B272:B273"/>
    <mergeCell ref="F254:I254"/>
    <mergeCell ref="I261:I263"/>
    <mergeCell ref="A264:A265"/>
    <mergeCell ref="B264:B265"/>
    <mergeCell ref="C264:C265"/>
    <mergeCell ref="C272:C273"/>
    <mergeCell ref="D272:D273"/>
    <mergeCell ref="E272:E273"/>
    <mergeCell ref="C374:C377"/>
    <mergeCell ref="D374:D377"/>
    <mergeCell ref="E374:E377"/>
    <mergeCell ref="B418:B420"/>
    <mergeCell ref="F431:I431"/>
    <mergeCell ref="I378:I380"/>
    <mergeCell ref="I374:I377"/>
    <mergeCell ref="I418:I420"/>
    <mergeCell ref="E383:E384"/>
    <mergeCell ref="B383:B384"/>
    <mergeCell ref="C383:C384"/>
    <mergeCell ref="I413:I414"/>
    <mergeCell ref="I421:I423"/>
    <mergeCell ref="F437:F438"/>
    <mergeCell ref="J258:L258"/>
    <mergeCell ref="A569:A570"/>
    <mergeCell ref="B569:B570"/>
    <mergeCell ref="F569:F570"/>
    <mergeCell ref="G569:G570"/>
    <mergeCell ref="H569:H570"/>
    <mergeCell ref="I569:I570"/>
    <mergeCell ref="H427:H428"/>
    <mergeCell ref="I427:I429"/>
    <mergeCell ref="E406:E409"/>
    <mergeCell ref="D394:D397"/>
    <mergeCell ref="G437:G438"/>
    <mergeCell ref="A266:A267"/>
    <mergeCell ref="B266:B267"/>
    <mergeCell ref="D264:D265"/>
    <mergeCell ref="E264:E265"/>
    <mergeCell ref="I264:I265"/>
    <mergeCell ref="A269:A270"/>
    <mergeCell ref="B269:B270"/>
    <mergeCell ref="A367:A371"/>
    <mergeCell ref="B367:B371"/>
    <mergeCell ref="I367:I371"/>
    <mergeCell ref="A374:A377"/>
  </mergeCells>
  <phoneticPr fontId="23" type="noConversion"/>
  <pageMargins left="0.19685039370078741" right="0.19685039370078741" top="0.98425196850393704" bottom="0.19685039370078741"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Gitana Gulevienė</dc:creator>
  <cp:lastModifiedBy>Gražina Paulauskienė</cp:lastModifiedBy>
  <cp:lastPrinted>2020-07-22T06:10:27Z</cp:lastPrinted>
  <dcterms:created xsi:type="dcterms:W3CDTF">2018-04-10T06:46:33Z</dcterms:created>
  <dcterms:modified xsi:type="dcterms:W3CDTF">2020-07-22T13:10:47Z</dcterms:modified>
</cp:coreProperties>
</file>