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filterPrivacy="1" defaultThemeVersion="124226"/>
  <xr:revisionPtr revIDLastSave="0" documentId="13_ncr:1_{63B9F657-626C-4673-9787-22F5F774A2E7}" xr6:coauthVersionLast="46" xr6:coauthVersionMax="46" xr10:uidLastSave="{00000000-0000-0000-0000-000000000000}"/>
  <bookViews>
    <workbookView xWindow="-120" yWindow="-120" windowWidth="29040" windowHeight="15840" tabRatio="736" xr2:uid="{00000000-000D-0000-FFFF-FFFF00000000}"/>
  </bookViews>
  <sheets>
    <sheet name="Bendras sąrašas" sheetId="7" r:id="rId1"/>
    <sheet name="Po susirinkimų" sheetId="2" state="hidden" r:id="rId2"/>
    <sheet name="Savivaldybės butai II" sheetId="4" state="hidden" r:id="rId3"/>
    <sheet name="Senas sąrašas" sheetId="1" state="hidden" r:id="rId4"/>
  </sheets>
  <definedNames>
    <definedName name="_xlnm.Print_Area" localSheetId="0">'Bendras sąrašas'!$A$1:$S$207</definedName>
    <definedName name="_xlnm.Print_Area" localSheetId="3">'Senas sąrašas'!$A$1:$S$159</definedName>
  </definedNames>
  <calcPr calcId="191029"/>
</workbook>
</file>

<file path=xl/calcChain.xml><?xml version="1.0" encoding="utf-8"?>
<calcChain xmlns="http://schemas.openxmlformats.org/spreadsheetml/2006/main">
  <c r="C201" i="7" l="1"/>
  <c r="G121" i="7" l="1"/>
  <c r="G144" i="7" l="1"/>
  <c r="G143" i="7"/>
  <c r="G142" i="7"/>
  <c r="G141" i="7"/>
  <c r="G140" i="7"/>
  <c r="G139" i="7"/>
  <c r="G138" i="7"/>
  <c r="G96" i="7"/>
  <c r="G137" i="7"/>
  <c r="G136" i="7"/>
  <c r="G135" i="7"/>
  <c r="G134" i="7"/>
  <c r="G133" i="7"/>
  <c r="G132" i="7"/>
  <c r="G131" i="7"/>
  <c r="G129" i="7"/>
  <c r="G128" i="7"/>
  <c r="G125" i="7" l="1"/>
  <c r="G123" i="7"/>
  <c r="G126" i="7"/>
  <c r="G130" i="7"/>
  <c r="G124" i="7"/>
  <c r="G95" i="7"/>
  <c r="H201" i="7"/>
  <c r="N201" i="7"/>
  <c r="M201" i="7"/>
  <c r="K201" i="7"/>
  <c r="D201" i="7"/>
  <c r="Q12" i="7"/>
  <c r="G99" i="7"/>
  <c r="I201" i="7"/>
  <c r="G119" i="7"/>
  <c r="G118" i="7"/>
  <c r="G117" i="7"/>
  <c r="G112" i="7"/>
  <c r="G115" i="7"/>
  <c r="G113" i="7"/>
  <c r="G108" i="7"/>
  <c r="G102" i="7"/>
  <c r="G103" i="7"/>
  <c r="G111" i="7"/>
  <c r="G107" i="7"/>
  <c r="G98" i="7"/>
  <c r="G101" i="7"/>
  <c r="G114" i="7"/>
  <c r="G97" i="7"/>
  <c r="G104" i="7"/>
  <c r="G100" i="7"/>
  <c r="G120" i="7"/>
  <c r="G116" i="7"/>
  <c r="G110" i="7"/>
  <c r="G92" i="7"/>
  <c r="G106" i="7"/>
  <c r="G93" i="7"/>
  <c r="G109" i="7"/>
  <c r="G105" i="7"/>
  <c r="G22" i="7"/>
  <c r="G89" i="7"/>
  <c r="J89" i="7"/>
  <c r="J90" i="7"/>
  <c r="J85" i="7"/>
  <c r="J86" i="7"/>
  <c r="J87" i="7"/>
  <c r="J88" i="7"/>
  <c r="J84" i="7"/>
  <c r="J22" i="7"/>
  <c r="G85" i="7"/>
  <c r="G90" i="7"/>
  <c r="G84" i="7"/>
  <c r="G87" i="7"/>
  <c r="G88" i="7"/>
  <c r="G86" i="7"/>
  <c r="G82" i="7"/>
  <c r="G83" i="7"/>
  <c r="G80" i="7"/>
  <c r="F137" i="4"/>
  <c r="R51" i="7"/>
  <c r="A204" i="7"/>
  <c r="A205" i="7" s="1"/>
  <c r="J6" i="7"/>
  <c r="J79" i="7"/>
  <c r="J73" i="7"/>
  <c r="J68" i="7"/>
  <c r="M35" i="7"/>
  <c r="J20" i="7"/>
  <c r="J12" i="7"/>
  <c r="Q79" i="7"/>
  <c r="Q81" i="7"/>
  <c r="I35" i="7"/>
  <c r="L75" i="7"/>
  <c r="L55" i="7"/>
  <c r="L35" i="7"/>
  <c r="L201" i="7"/>
  <c r="Q83" i="7"/>
  <c r="J83" i="7"/>
  <c r="Q82" i="7"/>
  <c r="J82" i="7"/>
  <c r="G81" i="7"/>
  <c r="Q80" i="7"/>
  <c r="J80" i="7"/>
  <c r="G79" i="7"/>
  <c r="Q78" i="7"/>
  <c r="J78" i="7"/>
  <c r="G78" i="7"/>
  <c r="N75" i="7"/>
  <c r="M75" i="7"/>
  <c r="I75" i="7"/>
  <c r="H75" i="7"/>
  <c r="D75" i="7"/>
  <c r="C75" i="7"/>
  <c r="R74" i="7"/>
  <c r="J74" i="7"/>
  <c r="G74" i="7"/>
  <c r="G73" i="7"/>
  <c r="R72" i="7"/>
  <c r="J72" i="7"/>
  <c r="G72" i="7"/>
  <c r="R71" i="7"/>
  <c r="J71" i="7"/>
  <c r="G71" i="7"/>
  <c r="R70" i="7"/>
  <c r="J70" i="7"/>
  <c r="G70" i="7"/>
  <c r="Q69" i="7"/>
  <c r="J69" i="7"/>
  <c r="G69" i="7"/>
  <c r="G68" i="7"/>
  <c r="R67" i="7"/>
  <c r="J67" i="7"/>
  <c r="G67" i="7"/>
  <c r="Q66" i="7"/>
  <c r="J66" i="7"/>
  <c r="G66" i="7"/>
  <c r="Q65" i="7"/>
  <c r="J65" i="7"/>
  <c r="G65" i="7"/>
  <c r="J64" i="7"/>
  <c r="G64" i="7"/>
  <c r="Q63" i="7"/>
  <c r="J63" i="7"/>
  <c r="G63" i="7"/>
  <c r="J62" i="7"/>
  <c r="G62" i="7"/>
  <c r="R61" i="7"/>
  <c r="J61" i="7"/>
  <c r="G61" i="7"/>
  <c r="R60" i="7"/>
  <c r="J60" i="7"/>
  <c r="G60" i="7"/>
  <c r="R59" i="7"/>
  <c r="J59" i="7"/>
  <c r="G59" i="7"/>
  <c r="R58" i="7"/>
  <c r="K58" i="7"/>
  <c r="K75" i="7" s="1"/>
  <c r="G58" i="7"/>
  <c r="N55" i="7"/>
  <c r="M55" i="7"/>
  <c r="I55" i="7"/>
  <c r="H55" i="7"/>
  <c r="D55" i="7"/>
  <c r="C55" i="7"/>
  <c r="K54" i="7"/>
  <c r="J54" i="7" s="1"/>
  <c r="G54" i="7"/>
  <c r="K53" i="7"/>
  <c r="G53" i="7"/>
  <c r="Q52" i="7"/>
  <c r="K52" i="7"/>
  <c r="J52" i="7" s="1"/>
  <c r="G52" i="7"/>
  <c r="G51" i="7"/>
  <c r="K50" i="7"/>
  <c r="J50" i="7" s="1"/>
  <c r="Q49" i="7"/>
  <c r="K49" i="7"/>
  <c r="J49" i="7" s="1"/>
  <c r="G49" i="7"/>
  <c r="Q48" i="7"/>
  <c r="J48" i="7"/>
  <c r="G48" i="7"/>
  <c r="Q47" i="7"/>
  <c r="R47" i="7" s="1"/>
  <c r="J47" i="7"/>
  <c r="G47" i="7"/>
  <c r="Q46" i="7"/>
  <c r="J46" i="7"/>
  <c r="Q45" i="7"/>
  <c r="J45" i="7"/>
  <c r="G45" i="7"/>
  <c r="Q44" i="7"/>
  <c r="J44" i="7"/>
  <c r="G44" i="7"/>
  <c r="Q43" i="7"/>
  <c r="K43" i="7"/>
  <c r="J43" i="7" s="1"/>
  <c r="G43" i="7"/>
  <c r="Q42" i="7"/>
  <c r="J42" i="7"/>
  <c r="G42" i="7"/>
  <c r="Q41" i="7"/>
  <c r="K41" i="7"/>
  <c r="J41" i="7" s="1"/>
  <c r="G41" i="7"/>
  <c r="Q40" i="7"/>
  <c r="K40" i="7"/>
  <c r="G40" i="7"/>
  <c r="Q39" i="7"/>
  <c r="J39" i="7"/>
  <c r="G39" i="7"/>
  <c r="Q38" i="7"/>
  <c r="G38" i="7"/>
  <c r="N35" i="7"/>
  <c r="H35" i="7"/>
  <c r="D35" i="7"/>
  <c r="C35" i="7"/>
  <c r="G34" i="7"/>
  <c r="K33" i="7"/>
  <c r="G33" i="7"/>
  <c r="K32" i="7"/>
  <c r="G32" i="7"/>
  <c r="K31" i="7"/>
  <c r="G31" i="7"/>
  <c r="K30" i="7"/>
  <c r="G30" i="7"/>
  <c r="K29" i="7"/>
  <c r="G29" i="7"/>
  <c r="K28" i="7"/>
  <c r="G28" i="7"/>
  <c r="K27" i="7"/>
  <c r="G27" i="7"/>
  <c r="K26" i="7"/>
  <c r="G26" i="7"/>
  <c r="K25" i="7"/>
  <c r="G25" i="7"/>
  <c r="J24" i="7"/>
  <c r="K24" i="7" s="1"/>
  <c r="G24" i="7"/>
  <c r="K23" i="7"/>
  <c r="G23" i="7"/>
  <c r="G21" i="7"/>
  <c r="G20" i="7"/>
  <c r="K19" i="7"/>
  <c r="G19" i="7"/>
  <c r="Q18" i="7"/>
  <c r="K18" i="7"/>
  <c r="G18" i="7"/>
  <c r="K17" i="7"/>
  <c r="G17" i="7"/>
  <c r="K16" i="7"/>
  <c r="G16" i="7"/>
  <c r="K15" i="7"/>
  <c r="G15" i="7"/>
  <c r="K14" i="7"/>
  <c r="G14" i="7"/>
  <c r="K13" i="7"/>
  <c r="G13" i="7"/>
  <c r="G12" i="7"/>
  <c r="G11" i="7"/>
  <c r="K10" i="7"/>
  <c r="G10" i="7"/>
  <c r="G9" i="7"/>
  <c r="Q8" i="7"/>
  <c r="K8" i="7"/>
  <c r="G8" i="7"/>
  <c r="J7" i="7"/>
  <c r="G7" i="7"/>
  <c r="G6" i="7"/>
  <c r="K5" i="7"/>
  <c r="G5" i="7"/>
  <c r="K4" i="7"/>
  <c r="G4" i="7"/>
  <c r="K3" i="7"/>
  <c r="G3" i="7"/>
  <c r="A116" i="2"/>
  <c r="E150" i="4"/>
  <c r="G27" i="2"/>
  <c r="G49" i="2"/>
  <c r="G9" i="2"/>
  <c r="G20" i="2"/>
  <c r="G22" i="2"/>
  <c r="G21" i="2"/>
  <c r="Q88" i="1"/>
  <c r="G109" i="1"/>
  <c r="G111" i="1"/>
  <c r="G110" i="1"/>
  <c r="G97" i="1"/>
  <c r="G14" i="1"/>
  <c r="G103" i="1"/>
  <c r="G96" i="1"/>
  <c r="G114" i="1"/>
  <c r="G78" i="2"/>
  <c r="G47" i="2"/>
  <c r="G94" i="1"/>
  <c r="G90" i="1"/>
  <c r="G81" i="1"/>
  <c r="G105" i="1" s="1"/>
  <c r="G7" i="1"/>
  <c r="G47" i="1"/>
  <c r="G83" i="1"/>
  <c r="G69" i="1"/>
  <c r="G68" i="1"/>
  <c r="G40" i="1"/>
  <c r="G65" i="1"/>
  <c r="G95" i="1"/>
  <c r="G26" i="1"/>
  <c r="G3" i="1"/>
  <c r="G86" i="2"/>
  <c r="G82" i="2"/>
  <c r="M146" i="1"/>
  <c r="N146" i="1"/>
  <c r="L146" i="1"/>
  <c r="K146" i="1"/>
  <c r="I146" i="1"/>
  <c r="H146" i="1"/>
  <c r="D146" i="1"/>
  <c r="C146" i="1"/>
  <c r="G166" i="1"/>
  <c r="G165" i="1"/>
  <c r="G160" i="1"/>
  <c r="G161" i="1"/>
  <c r="G162" i="1"/>
  <c r="G163" i="1"/>
  <c r="G164" i="1"/>
  <c r="G167" i="1"/>
  <c r="G168" i="1"/>
  <c r="A149" i="1"/>
  <c r="A150" i="1" s="1"/>
  <c r="G24" i="1"/>
  <c r="G45" i="1"/>
  <c r="G146" i="4"/>
  <c r="K69" i="2"/>
  <c r="J115" i="1"/>
  <c r="J88" i="1"/>
  <c r="G18" i="1"/>
  <c r="J69" i="2"/>
  <c r="Q72" i="1"/>
  <c r="Q73" i="1"/>
  <c r="G73" i="2"/>
  <c r="G16" i="2"/>
  <c r="G12" i="1"/>
  <c r="G88" i="1"/>
  <c r="J108" i="1"/>
  <c r="J112" i="1"/>
  <c r="J116" i="1"/>
  <c r="Q22" i="1"/>
  <c r="C153" i="4"/>
  <c r="E153" i="4" s="1"/>
  <c r="G112" i="1"/>
  <c r="G8" i="2"/>
  <c r="Q9" i="1"/>
  <c r="E149" i="4"/>
  <c r="D146" i="4"/>
  <c r="C151" i="4" s="1"/>
  <c r="F145" i="4"/>
  <c r="E145" i="4"/>
  <c r="F144" i="4"/>
  <c r="F143" i="4"/>
  <c r="E143" i="4"/>
  <c r="F142" i="4"/>
  <c r="E142" i="4"/>
  <c r="F141" i="4"/>
  <c r="E141" i="4"/>
  <c r="F140" i="4"/>
  <c r="E140" i="4"/>
  <c r="F139" i="4"/>
  <c r="E139" i="4"/>
  <c r="F138" i="4"/>
  <c r="F136" i="4"/>
  <c r="F135" i="4"/>
  <c r="E135" i="4"/>
  <c r="F134" i="4"/>
  <c r="F133" i="4"/>
  <c r="F132" i="4"/>
  <c r="F131" i="4"/>
  <c r="F130" i="4"/>
  <c r="F129" i="4"/>
  <c r="F128" i="4"/>
  <c r="F127" i="4"/>
  <c r="F126" i="4"/>
  <c r="F125" i="4"/>
  <c r="E125" i="4"/>
  <c r="F124" i="4"/>
  <c r="E124" i="4"/>
  <c r="F123" i="4"/>
  <c r="E123" i="4"/>
  <c r="F122" i="4"/>
  <c r="E122" i="4"/>
  <c r="F121" i="4"/>
  <c r="E121" i="4"/>
  <c r="F120" i="4"/>
  <c r="E120" i="4"/>
  <c r="F119" i="4"/>
  <c r="E119" i="4"/>
  <c r="F118" i="4"/>
  <c r="E118" i="4"/>
  <c r="F117" i="4"/>
  <c r="E117" i="4"/>
  <c r="F116" i="4"/>
  <c r="E116" i="4"/>
  <c r="F115" i="4"/>
  <c r="E115" i="4"/>
  <c r="F114" i="4"/>
  <c r="E114" i="4"/>
  <c r="F113" i="4"/>
  <c r="E113" i="4"/>
  <c r="F112" i="4"/>
  <c r="E112" i="4"/>
  <c r="F111" i="4"/>
  <c r="F110" i="4"/>
  <c r="F109" i="4"/>
  <c r="F108" i="4"/>
  <c r="F107" i="4"/>
  <c r="F104" i="4"/>
  <c r="F100" i="4"/>
  <c r="E100" i="4"/>
  <c r="F99" i="4"/>
  <c r="F98" i="4"/>
  <c r="F97" i="4"/>
  <c r="F96" i="4"/>
  <c r="E96" i="4"/>
  <c r="F95" i="4"/>
  <c r="E95" i="4"/>
  <c r="F94" i="4"/>
  <c r="E94" i="4"/>
  <c r="F93" i="4"/>
  <c r="E93" i="4"/>
  <c r="F92" i="4"/>
  <c r="F91" i="4"/>
  <c r="F90" i="4"/>
  <c r="F89" i="4"/>
  <c r="F85" i="4"/>
  <c r="E85" i="4"/>
  <c r="F84" i="4"/>
  <c r="E84" i="4"/>
  <c r="F81" i="4"/>
  <c r="E81" i="4"/>
  <c r="F80" i="4"/>
  <c r="E80" i="4"/>
  <c r="F79" i="4"/>
  <c r="E79" i="4"/>
  <c r="F78" i="4"/>
  <c r="E78" i="4"/>
  <c r="F77" i="4"/>
  <c r="E77" i="4"/>
  <c r="F76" i="4"/>
  <c r="E76" i="4"/>
  <c r="F75" i="4"/>
  <c r="E75" i="4"/>
  <c r="F74" i="4"/>
  <c r="E74" i="4"/>
  <c r="F73" i="4"/>
  <c r="F72" i="4"/>
  <c r="F71" i="4"/>
  <c r="F70" i="4"/>
  <c r="F69" i="4"/>
  <c r="F68" i="4"/>
  <c r="F65" i="4"/>
  <c r="E65" i="4"/>
  <c r="F64" i="4"/>
  <c r="E64" i="4"/>
  <c r="F60" i="4"/>
  <c r="F59" i="4"/>
  <c r="F58" i="4"/>
  <c r="E58" i="4"/>
  <c r="F57" i="4"/>
  <c r="E57" i="4"/>
  <c r="F56" i="4"/>
  <c r="E56" i="4"/>
  <c r="F55" i="4"/>
  <c r="E55" i="4"/>
  <c r="F54" i="4"/>
  <c r="F53" i="4"/>
  <c r="F52" i="4"/>
  <c r="F51" i="4"/>
  <c r="F50" i="4"/>
  <c r="F49" i="4"/>
  <c r="E49" i="4"/>
  <c r="F48" i="4"/>
  <c r="E48" i="4"/>
  <c r="F47" i="4"/>
  <c r="E47" i="4"/>
  <c r="F46" i="4"/>
  <c r="E46" i="4"/>
  <c r="F40" i="4"/>
  <c r="E40" i="4"/>
  <c r="F39" i="4"/>
  <c r="E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3" i="4"/>
  <c r="F12" i="4"/>
  <c r="F11" i="4"/>
  <c r="F10" i="4"/>
  <c r="F9" i="4"/>
  <c r="F8" i="4"/>
  <c r="E8" i="4"/>
  <c r="F7" i="4"/>
  <c r="E7" i="4"/>
  <c r="F6" i="4"/>
  <c r="F5" i="4"/>
  <c r="F4" i="4"/>
  <c r="F3" i="4"/>
  <c r="F2" i="4"/>
  <c r="F146" i="4" s="1"/>
  <c r="G114" i="2"/>
  <c r="G113" i="2"/>
  <c r="G112" i="2"/>
  <c r="G111" i="2"/>
  <c r="G110" i="2"/>
  <c r="G106" i="2"/>
  <c r="G105" i="2"/>
  <c r="G104" i="2"/>
  <c r="G101" i="2"/>
  <c r="G98" i="2"/>
  <c r="G97" i="2"/>
  <c r="G95" i="2"/>
  <c r="G94" i="2"/>
  <c r="G93" i="2"/>
  <c r="G92" i="2"/>
  <c r="G90" i="2"/>
  <c r="G89" i="2"/>
  <c r="G88" i="2"/>
  <c r="G87" i="2"/>
  <c r="G83" i="2"/>
  <c r="G77" i="2"/>
  <c r="G76" i="2"/>
  <c r="G75" i="2"/>
  <c r="G74" i="2"/>
  <c r="I69" i="2"/>
  <c r="H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3" i="2"/>
  <c r="G52" i="2"/>
  <c r="G51" i="2"/>
  <c r="G50" i="2"/>
  <c r="G48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6" i="2"/>
  <c r="G25" i="2"/>
  <c r="G24" i="2"/>
  <c r="G23" i="2"/>
  <c r="G19" i="2"/>
  <c r="G18" i="2"/>
  <c r="G17" i="2"/>
  <c r="G15" i="2"/>
  <c r="G14" i="2"/>
  <c r="G13" i="2"/>
  <c r="G12" i="2"/>
  <c r="G11" i="2"/>
  <c r="G7" i="2"/>
  <c r="G6" i="2"/>
  <c r="G5" i="2"/>
  <c r="G4" i="2"/>
  <c r="G3" i="2"/>
  <c r="G69" i="2" s="1"/>
  <c r="Q116" i="1"/>
  <c r="G116" i="1"/>
  <c r="Q115" i="1"/>
  <c r="G115" i="1"/>
  <c r="Q113" i="1"/>
  <c r="G113" i="1"/>
  <c r="Q112" i="1"/>
  <c r="Q108" i="1"/>
  <c r="G108" i="1"/>
  <c r="G146" i="1" s="1"/>
  <c r="N105" i="1"/>
  <c r="M105" i="1"/>
  <c r="M149" i="1" s="1"/>
  <c r="M152" i="1" s="1"/>
  <c r="I105" i="1"/>
  <c r="H105" i="1"/>
  <c r="D105" i="1"/>
  <c r="C105" i="1"/>
  <c r="R104" i="1"/>
  <c r="J104" i="1"/>
  <c r="G104" i="1"/>
  <c r="R102" i="1"/>
  <c r="J102" i="1"/>
  <c r="G102" i="1"/>
  <c r="R101" i="1"/>
  <c r="J101" i="1"/>
  <c r="G101" i="1"/>
  <c r="R100" i="1"/>
  <c r="J100" i="1"/>
  <c r="G100" i="1"/>
  <c r="G99" i="1"/>
  <c r="Q98" i="1"/>
  <c r="J98" i="1"/>
  <c r="G98" i="1"/>
  <c r="R93" i="1"/>
  <c r="J93" i="1"/>
  <c r="G93" i="1"/>
  <c r="Q92" i="1"/>
  <c r="J92" i="1"/>
  <c r="G92" i="1"/>
  <c r="Q91" i="1"/>
  <c r="J91" i="1"/>
  <c r="G91" i="1"/>
  <c r="J89" i="1"/>
  <c r="G89" i="1"/>
  <c r="J87" i="1"/>
  <c r="G87" i="1"/>
  <c r="R86" i="1"/>
  <c r="J86" i="1"/>
  <c r="G86" i="1"/>
  <c r="R85" i="1"/>
  <c r="J85" i="1"/>
  <c r="G85" i="1"/>
  <c r="R84" i="1"/>
  <c r="J84" i="1"/>
  <c r="G84" i="1"/>
  <c r="R82" i="1"/>
  <c r="K82" i="1"/>
  <c r="K105" i="1" s="1"/>
  <c r="G82" i="1"/>
  <c r="N78" i="1"/>
  <c r="N149" i="1" s="1"/>
  <c r="N152" i="1" s="1"/>
  <c r="M78" i="1"/>
  <c r="I78" i="1"/>
  <c r="H78" i="1"/>
  <c r="D78" i="1"/>
  <c r="C78" i="1"/>
  <c r="K77" i="1"/>
  <c r="J77" i="1" s="1"/>
  <c r="G77" i="1"/>
  <c r="K76" i="1"/>
  <c r="G76" i="1"/>
  <c r="Q74" i="1"/>
  <c r="G74" i="1"/>
  <c r="G73" i="1"/>
  <c r="K72" i="1"/>
  <c r="J72" i="1"/>
  <c r="G72" i="1"/>
  <c r="G71" i="1"/>
  <c r="K70" i="1"/>
  <c r="J70" i="1" s="1"/>
  <c r="Q69" i="1"/>
  <c r="K69" i="1"/>
  <c r="J69" i="1" s="1"/>
  <c r="Q68" i="1"/>
  <c r="Q67" i="1"/>
  <c r="J67" i="1"/>
  <c r="G67" i="1"/>
  <c r="Q66" i="1"/>
  <c r="G66" i="1"/>
  <c r="Q65" i="1"/>
  <c r="Q64" i="1"/>
  <c r="G64" i="1"/>
  <c r="Q63" i="1"/>
  <c r="J63" i="1"/>
  <c r="G63" i="1"/>
  <c r="Q62" i="1"/>
  <c r="J62" i="1"/>
  <c r="Q61" i="1"/>
  <c r="J61" i="1"/>
  <c r="G61" i="1"/>
  <c r="Q60" i="1"/>
  <c r="G60" i="1"/>
  <c r="Q59" i="1"/>
  <c r="J59" i="1"/>
  <c r="G59" i="1"/>
  <c r="Q58" i="1"/>
  <c r="K58" i="1"/>
  <c r="J58" i="1"/>
  <c r="G58" i="1"/>
  <c r="Q57" i="1"/>
  <c r="J57" i="1"/>
  <c r="G57" i="1"/>
  <c r="Q56" i="1"/>
  <c r="K56" i="1"/>
  <c r="J56" i="1" s="1"/>
  <c r="G56" i="1"/>
  <c r="Q55" i="1"/>
  <c r="K55" i="1"/>
  <c r="G55" i="1"/>
  <c r="Q54" i="1"/>
  <c r="J54" i="1"/>
  <c r="G54" i="1"/>
  <c r="Q53" i="1"/>
  <c r="G53" i="1"/>
  <c r="Q52" i="1"/>
  <c r="Q51" i="1"/>
  <c r="G51" i="1"/>
  <c r="G78" i="1" s="1"/>
  <c r="N48" i="1"/>
  <c r="M48" i="1"/>
  <c r="I48" i="1"/>
  <c r="H48" i="1"/>
  <c r="D149" i="1" s="1"/>
  <c r="D150" i="1" s="1"/>
  <c r="D48" i="1"/>
  <c r="C48" i="1"/>
  <c r="G46" i="1"/>
  <c r="K44" i="1"/>
  <c r="G44" i="1"/>
  <c r="K43" i="1"/>
  <c r="G43" i="1"/>
  <c r="K41" i="1"/>
  <c r="G41" i="1"/>
  <c r="K39" i="1"/>
  <c r="G39" i="1"/>
  <c r="K38" i="1"/>
  <c r="G38" i="1"/>
  <c r="K36" i="1"/>
  <c r="G36" i="1"/>
  <c r="G35" i="1"/>
  <c r="K33" i="1"/>
  <c r="G33" i="1"/>
  <c r="K31" i="1"/>
  <c r="G31" i="1"/>
  <c r="K30" i="1"/>
  <c r="G30" i="1"/>
  <c r="J29" i="1"/>
  <c r="K29" i="1" s="1"/>
  <c r="G29" i="1"/>
  <c r="K28" i="1"/>
  <c r="G28" i="1"/>
  <c r="G27" i="1"/>
  <c r="K23" i="1"/>
  <c r="G23" i="1"/>
  <c r="K22" i="1"/>
  <c r="G22" i="1"/>
  <c r="K21" i="1"/>
  <c r="G21" i="1"/>
  <c r="G20" i="1"/>
  <c r="K19" i="1"/>
  <c r="G19" i="1"/>
  <c r="K17" i="1"/>
  <c r="G17" i="1"/>
  <c r="K16" i="1"/>
  <c r="G16" i="1"/>
  <c r="K15" i="1"/>
  <c r="G15" i="1"/>
  <c r="G13" i="1"/>
  <c r="K11" i="1"/>
  <c r="G11" i="1"/>
  <c r="G10" i="1"/>
  <c r="K9" i="1"/>
  <c r="G9" i="1"/>
  <c r="J8" i="1"/>
  <c r="G8" i="1"/>
  <c r="K6" i="1"/>
  <c r="G6" i="1"/>
  <c r="K5" i="1"/>
  <c r="G5" i="1"/>
  <c r="K4" i="1"/>
  <c r="G4" i="1"/>
  <c r="G48" i="1"/>
  <c r="C204" i="7" l="1"/>
  <c r="C205" i="7" s="1"/>
  <c r="D204" i="7"/>
  <c r="D205" i="7" s="1"/>
  <c r="I149" i="1"/>
  <c r="I150" i="1" s="1"/>
  <c r="E146" i="4"/>
  <c r="I151" i="1"/>
  <c r="C148" i="1"/>
  <c r="H149" i="1"/>
  <c r="H152" i="1" s="1"/>
  <c r="G149" i="1"/>
  <c r="G152" i="1" s="1"/>
  <c r="C149" i="1"/>
  <c r="C150" i="1" s="1"/>
  <c r="K48" i="1"/>
  <c r="K149" i="1" s="1"/>
  <c r="K150" i="1" s="1"/>
  <c r="K78" i="1"/>
  <c r="D148" i="1"/>
  <c r="J146" i="1"/>
  <c r="C203" i="7"/>
  <c r="G150" i="1"/>
  <c r="J78" i="1"/>
  <c r="E154" i="4"/>
  <c r="M150" i="1"/>
  <c r="N150" i="1"/>
  <c r="I152" i="1"/>
  <c r="H151" i="1"/>
  <c r="J48" i="1"/>
  <c r="J82" i="1"/>
  <c r="J105" i="1" s="1"/>
  <c r="K55" i="7"/>
  <c r="G35" i="7"/>
  <c r="G55" i="7"/>
  <c r="D203" i="7"/>
  <c r="G75" i="7"/>
  <c r="G91" i="7"/>
  <c r="G201" i="7" s="1"/>
  <c r="J35" i="7"/>
  <c r="J58" i="7"/>
  <c r="J75" i="7" s="1"/>
  <c r="K35" i="7"/>
  <c r="J201" i="7"/>
  <c r="J55" i="7"/>
  <c r="I204" i="7"/>
  <c r="I205" i="7" s="1"/>
  <c r="M204" i="7"/>
  <c r="M205" i="7" s="1"/>
  <c r="N204" i="7"/>
  <c r="N205" i="7" s="1"/>
  <c r="H204" i="7"/>
  <c r="H205" i="7" s="1"/>
  <c r="H150" i="1" l="1"/>
  <c r="G204" i="7"/>
  <c r="G205" i="7" s="1"/>
  <c r="G151" i="1"/>
  <c r="J149" i="1"/>
  <c r="J150" i="1" s="1"/>
  <c r="K204" i="7"/>
  <c r="K205" i="7" s="1"/>
  <c r="J204" i="7"/>
  <c r="J205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Autorius</author>
  </authors>
  <commentList>
    <comment ref="F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2013.11.25. Sutikusiųjų dalis 27,27 proc.</t>
        </r>
      </text>
    </comment>
    <comment ref="K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Techninis projektas pirktas atskirai 8720,32 €, UAB "Sunsolis"</t>
        </r>
      </text>
    </comment>
    <comment ref="I1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UAB "CCM Baltic".
Pirkimas kartotas 2016-08-29</t>
        </r>
      </text>
    </comment>
    <comment ref="F11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2013.12.09, sutikusiųjų dalis 57,89 proc.
</t>
        </r>
      </text>
    </comment>
    <comment ref="F12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2013.11.27. Kvorumo nebuvo</t>
        </r>
      </text>
    </comment>
    <comment ref="I14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CCM Baltic</t>
        </r>
      </text>
    </comment>
    <comment ref="F20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2013-12-05. pritarė 55 proc.</t>
        </r>
      </text>
    </comment>
    <comment ref="F21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2013.12.02. Kvorumo nebuvo</t>
        </r>
      </text>
    </comment>
    <comment ref="I23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CCM Baltic</t>
        </r>
      </text>
    </comment>
    <comment ref="I32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CCM Baltic</t>
        </r>
      </text>
    </comment>
    <comment ref="K53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Kartu su Chemikų 104
</t>
        </r>
      </text>
    </comment>
    <comment ref="F5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2014.08.06, 57 proc. pritarusių</t>
        </r>
      </text>
    </comment>
    <comment ref="F63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2014-10-27, nepritarta</t>
        </r>
      </text>
    </comment>
    <comment ref="F68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2014-08-26; 6,67 %</t>
        </r>
      </text>
    </comment>
    <comment ref="K69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Be projektavimo. Projektavo CCM Baltic, pirmas rangovas, su kuriuo buvo nutraukta sutartis</t>
        </r>
      </text>
    </comment>
    <comment ref="F7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2014-10-28 neįvykęs</t>
        </r>
      </text>
    </comment>
    <comment ref="F78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Antras susirinkimas. Pirmas vyko 2014-12-11</t>
        </r>
      </text>
    </comment>
    <comment ref="F79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2015-02-04. Pritarė 50%</t>
        </r>
      </text>
    </comment>
    <comment ref="F80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2015-06-01, sutikimų buvo 58,33 %</t>
        </r>
      </text>
    </comment>
    <comment ref="A84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2015-10-08 tarybos sprendimu</t>
        </r>
      </text>
    </comment>
    <comment ref="A87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2016-01-28 TS</t>
        </r>
      </text>
    </comment>
    <comment ref="B87" authorId="0" shapeId="0" xr:uid="{00000000-0006-0000-0000-000016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2015-11-30
</t>
        </r>
      </text>
    </comment>
    <comment ref="A88" authorId="0" shapeId="0" xr:uid="{00000000-0006-0000-0000-000017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2016-06-30 TS Nr. 1TS</t>
        </r>
      </text>
    </comment>
    <comment ref="B88" authorId="0" shapeId="0" xr:uid="{00000000-0006-0000-0000-000018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2016-02-11</t>
        </r>
      </text>
    </comment>
    <comment ref="B89" authorId="0" shapeId="0" xr:uid="{00000000-0006-0000-0000-000019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2016-03-30
</t>
        </r>
      </text>
    </comment>
    <comment ref="B90" authorId="0" shapeId="0" xr:uid="{00000000-0006-0000-0000-00001A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2016-04-06</t>
        </r>
      </text>
    </comment>
    <comment ref="A92" authorId="0" shapeId="0" xr:uid="{00000000-0006-0000-0000-00001B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2015-10-08 tarybos sprendimu</t>
        </r>
      </text>
    </comment>
    <comment ref="A95" authorId="0" shapeId="0" xr:uid="{00000000-0006-0000-0000-00001C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2016-01-28 TS</t>
        </r>
      </text>
    </comment>
    <comment ref="B95" authorId="0" shapeId="0" xr:uid="{00000000-0006-0000-0000-00001D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2015-10-19</t>
        </r>
      </text>
    </comment>
    <comment ref="B96" authorId="0" shapeId="0" xr:uid="{00000000-0006-0000-0000-00001E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2015-11-10, 2015-11-04 nebuvo kvorumo;
2017-12-18 nebuvo kvorumo</t>
        </r>
      </text>
    </comment>
    <comment ref="B97" authorId="0" shapeId="0" xr:uid="{00000000-0006-0000-0000-00001F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Pritarė rengti investicijų planą 2015-12-07, 2018-01-04 pritarė IP</t>
        </r>
      </text>
    </comment>
    <comment ref="A98" authorId="0" shapeId="0" xr:uid="{00000000-0006-0000-0000-000020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2016-06-30 TS Nr. 1TS</t>
        </r>
      </text>
    </comment>
    <comment ref="B98" authorId="0" shapeId="0" xr:uid="{00000000-0006-0000-0000-000021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2016.01.18, 2018-01-16 pritarė IP
</t>
        </r>
      </text>
    </comment>
    <comment ref="B99" authorId="0" shapeId="0" xr:uid="{00000000-0006-0000-0000-000022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2016.01.18</t>
        </r>
      </text>
    </comment>
    <comment ref="B100" authorId="0" shapeId="0" xr:uid="{00000000-0006-0000-0000-000023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2016-02-11, 2018-01-03 pritarė IP</t>
        </r>
      </text>
    </comment>
    <comment ref="B101" authorId="0" shapeId="0" xr:uid="{00000000-0006-0000-0000-000024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2016-03-10, 2018-01-16 pritarė IP
</t>
        </r>
      </text>
    </comment>
    <comment ref="B102" authorId="0" shapeId="0" xr:uid="{00000000-0006-0000-0000-000025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2016-03-21, 2018-01-11 pritarė IP
</t>
        </r>
      </text>
    </comment>
    <comment ref="B103" authorId="0" shapeId="0" xr:uid="{00000000-0006-0000-0000-000026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2016-03-21, 2018-01-11 pritarė IP
</t>
        </r>
      </text>
    </comment>
    <comment ref="B104" authorId="0" shapeId="0" xr:uid="{00000000-0006-0000-0000-000027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2016-05-18</t>
        </r>
      </text>
    </comment>
    <comment ref="B105" authorId="0" shapeId="0" xr:uid="{00000000-0006-0000-0000-000028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2016-05-25
</t>
        </r>
      </text>
    </comment>
    <comment ref="B106" authorId="0" shapeId="0" xr:uid="{00000000-0006-0000-0000-000029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2016-05-25
</t>
        </r>
      </text>
    </comment>
    <comment ref="A107" authorId="0" shapeId="0" xr:uid="{00000000-0006-0000-0000-00002A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TS dar nėra priimtas</t>
        </r>
      </text>
    </comment>
    <comment ref="B107" authorId="0" shapeId="0" xr:uid="{00000000-0006-0000-0000-00002B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2016-08-02, 2018-01-17 pritarė IP
</t>
        </r>
      </text>
    </comment>
    <comment ref="B108" authorId="0" shapeId="0" xr:uid="{00000000-0006-0000-0000-00002C000000}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2018-01-22 pritarė IP</t>
        </r>
      </text>
    </comment>
    <comment ref="B109" authorId="0" shapeId="0" xr:uid="{00000000-0006-0000-0000-00002D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2016-08-08</t>
        </r>
      </text>
    </comment>
    <comment ref="B110" authorId="0" shapeId="0" xr:uid="{00000000-0006-0000-0000-00002E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2016-08-08</t>
        </r>
      </text>
    </comment>
    <comment ref="B111" authorId="0" shapeId="0" xr:uid="{00000000-0006-0000-0000-00002F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2016-08-10, 2018-01-18 pritarė IP</t>
        </r>
      </text>
    </comment>
    <comment ref="B112" authorId="0" shapeId="0" xr:uid="{00000000-0006-0000-0000-000030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2016-11-02, 2018-01-17 pritarė IP</t>
        </r>
      </text>
    </comment>
    <comment ref="B113" authorId="0" shapeId="0" xr:uid="{00000000-0006-0000-0000-000031000000}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2018-01-18 pritarė IP</t>
        </r>
      </text>
    </comment>
    <comment ref="B114" authorId="0" shapeId="0" xr:uid="{00000000-0006-0000-0000-000032000000}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2018-01-10 pritarė IP</t>
        </r>
      </text>
    </comment>
    <comment ref="B115" authorId="0" shapeId="0" xr:uid="{00000000-0006-0000-0000-000033000000}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2018-01-29 pritarė IP</t>
        </r>
      </text>
    </comment>
    <comment ref="B116" authorId="0" shapeId="0" xr:uid="{00000000-0006-0000-0000-000034000000}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2018-01-30 pritarė IP</t>
        </r>
      </text>
    </comment>
    <comment ref="B117" authorId="0" shapeId="0" xr:uid="{00000000-0006-0000-0000-000035000000}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2018-01-29 pritarė IP</t>
        </r>
      </text>
    </comment>
    <comment ref="B118" authorId="0" shapeId="0" xr:uid="{00000000-0006-0000-0000-000036000000}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2018-01-30 pritarė IP</t>
        </r>
      </text>
    </comment>
    <comment ref="B119" authorId="0" shapeId="0" xr:uid="{00000000-0006-0000-0000-000037000000}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2018-01-30 pritarė Ip</t>
        </r>
      </text>
    </comment>
    <comment ref="B120" authorId="0" shapeId="0" xr:uid="{00000000-0006-0000-0000-000038000000}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2018-01-29 pritarė IP
</t>
        </r>
      </text>
    </comment>
    <comment ref="B121" authorId="0" shapeId="0" xr:uid="{00000000-0006-0000-0000-000039000000}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2018-01-29 pritarė IP</t>
        </r>
      </text>
    </comment>
    <comment ref="B200" authorId="0" shapeId="0" xr:uid="{00000000-0006-0000-0000-00003A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2016-11-07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Autorius</author>
  </authors>
  <commentList>
    <comment ref="F8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Antras susirinkimas. Pirmas vyko 2014-12-11</t>
        </r>
      </text>
    </comment>
    <comment ref="F9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2013.11.25. Sutikusiųjų dalis 27,27 proc.</t>
        </r>
      </text>
    </comment>
    <comment ref="F16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Antras susirinkimas</t>
        </r>
      </text>
    </comment>
    <comment ref="F20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2014-10-28 neįvykęs</t>
        </r>
      </text>
    </comment>
    <comment ref="F21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2015-02-04. Pritarė 50%</t>
        </r>
      </text>
    </comment>
    <comment ref="F22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2014-08-26; 6,67 %</t>
        </r>
      </text>
    </comment>
    <comment ref="F47" authorId="0" shapeId="0" xr:uid="{00000000-0006-0000-0100-000007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2013-12-05. pritarė 55 proc.</t>
        </r>
      </text>
    </comment>
    <comment ref="F49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2013.11.27. Kvorumo nebuvo</t>
        </r>
      </text>
    </comment>
    <comment ref="F73" authorId="0" shapeId="0" xr:uid="{00000000-0006-0000-0100-000009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Antras susirinkimas</t>
        </r>
      </text>
    </comment>
    <comment ref="F78" authorId="0" shapeId="0" xr:uid="{00000000-0006-0000-0100-00000A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2013.12.02. Kvorumo nebuvo</t>
        </r>
      </text>
    </comment>
    <comment ref="F82" authorId="0" shapeId="0" xr:uid="{00000000-0006-0000-0100-00000B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2013.11.27 nebuvo kvorumo</t>
        </r>
      </text>
    </comment>
    <comment ref="F86" authorId="0" shapeId="0" xr:uid="{00000000-0006-0000-0100-00000C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2014.12.10
</t>
        </r>
      </text>
    </comment>
    <comment ref="G86" authorId="0" shapeId="0" xr:uid="{00000000-0006-0000-0100-00000D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2014.12.10 susirinkimas 11,11 %</t>
        </r>
      </text>
    </comment>
    <comment ref="F105" authorId="0" shapeId="0" xr:uid="{00000000-0006-0000-0100-00000E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2014.10.14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Autorius</author>
  </authors>
  <commentList>
    <comment ref="F3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2013.11.21 neįvykęs</t>
        </r>
      </text>
    </comment>
    <comment ref="F7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2013.11.25. Sutikusiųjų dalis 27,27 proc.</t>
        </r>
      </text>
    </comment>
    <comment ref="K8" authorId="0" shapeId="0" xr:uid="{00000000-0006-0000-0300-000003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Techninis projektas pirktas atskirai 8720,32 €, UAB "Sunsolis"</t>
        </r>
      </text>
    </comment>
    <comment ref="I11" authorId="0" shapeId="0" xr:uid="{00000000-0006-0000-0300-000004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UAB "CCM Baltic".
Pirkimas kartotas 2016-08-29</t>
        </r>
      </text>
    </comment>
    <comment ref="F12" authorId="0" shapeId="0" xr:uid="{00000000-0006-0000-0300-000005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2013.12.09, sutikusiųjų dalis 57,89 proc.
</t>
        </r>
      </text>
    </comment>
    <comment ref="F14" authorId="0" shapeId="0" xr:uid="{00000000-0006-0000-0300-000006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2013.11.27. Kvorumo nebuvo</t>
        </r>
      </text>
    </comment>
    <comment ref="F18" authorId="0" shapeId="0" xr:uid="{00000000-0006-0000-0300-000007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2013-11-27 nebuvo kvorumo. </t>
        </r>
      </text>
    </comment>
    <comment ref="F24" authorId="0" shapeId="0" xr:uid="{00000000-0006-0000-0300-000008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2013-12-05. pritarė 55 proc.</t>
        </r>
      </text>
    </comment>
    <comment ref="F26" authorId="0" shapeId="0" xr:uid="{00000000-0006-0000-0300-000009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2013.12.02. Kvorumo nebuvo</t>
        </r>
      </text>
    </comment>
    <comment ref="F40" authorId="0" shapeId="0" xr:uid="{00000000-0006-0000-0300-00000A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2013-12-03. Kvorumo nebuvo.</t>
        </r>
      </text>
    </comment>
    <comment ref="F45" authorId="0" shapeId="0" xr:uid="{00000000-0006-0000-0300-00000B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2013-11-13 nebuvo kvorumo</t>
        </r>
      </text>
    </comment>
    <comment ref="F47" authorId="0" shapeId="0" xr:uid="{00000000-0006-0000-0300-00000C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2016-08-29, pritarė 44,44%</t>
        </r>
      </text>
    </comment>
    <comment ref="F65" authorId="0" shapeId="0" xr:uid="{00000000-0006-0000-0300-00000D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2014.10.14 
Antras susirinkimas 2015-10-29, pritarė 34 %</t>
        </r>
      </text>
    </comment>
    <comment ref="F68" authorId="0" shapeId="0" xr:uid="{00000000-0006-0000-0300-00000E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2014-09-15. Pritarė 25%</t>
        </r>
      </text>
    </comment>
    <comment ref="K76" authorId="0" shapeId="0" xr:uid="{00000000-0006-0000-0300-00000F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Kartu su Chemikų 104
</t>
        </r>
      </text>
    </comment>
    <comment ref="F81" authorId="0" shapeId="0" xr:uid="{00000000-0006-0000-0300-000010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2014-09-24, pritarė 37,33%</t>
        </r>
      </text>
    </comment>
    <comment ref="F83" authorId="0" shapeId="0" xr:uid="{00000000-0006-0000-0300-000011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2014-11-11, pritarė 44,44%</t>
        </r>
      </text>
    </comment>
    <comment ref="F84" authorId="0" shapeId="0" xr:uid="{00000000-0006-0000-0300-000012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2014.08.06, 57 proc. pritarusių</t>
        </r>
      </text>
    </comment>
    <comment ref="F88" authorId="0" shapeId="0" xr:uid="{00000000-0006-0000-0300-000013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2014-10-27, nepritarta</t>
        </r>
      </text>
    </comment>
    <comment ref="F90" authorId="0" shapeId="0" xr:uid="{00000000-0006-0000-0300-000014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2015-02-25, pritarė 33,33%</t>
        </r>
      </text>
    </comment>
    <comment ref="F95" authorId="0" shapeId="0" xr:uid="{00000000-0006-0000-0300-000015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2014-10-29 neįvykęs</t>
        </r>
      </text>
    </comment>
    <comment ref="F96" authorId="0" shapeId="0" xr:uid="{00000000-0006-0000-0300-000016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2014-07-22. Pritarė 46,7 proc.</t>
        </r>
      </text>
    </comment>
    <comment ref="F97" authorId="0" shapeId="0" xr:uid="{00000000-0006-0000-0300-000017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2014-08-26; 6,67 %</t>
        </r>
      </text>
    </comment>
    <comment ref="K98" authorId="0" shapeId="0" xr:uid="{00000000-0006-0000-0300-000018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Be projektavimo. Projektavo CCM Baltic, pirmas rangovas, su kuriuo buvo nutraukta sutartis</t>
        </r>
      </text>
    </comment>
    <comment ref="F103" authorId="0" shapeId="0" xr:uid="{00000000-0006-0000-0300-000019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2014-10-28 neįvykęs</t>
        </r>
      </text>
    </comment>
    <comment ref="F108" authorId="0" shapeId="0" xr:uid="{00000000-0006-0000-0300-00001A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Antras susirinkimas. Pirmas vyko 2014-12-11</t>
        </r>
      </text>
    </comment>
    <comment ref="F109" authorId="0" shapeId="0" xr:uid="{00000000-0006-0000-0300-00001B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2014.12.10
Antras susirinkimas 2015-04-15. Pritarė 18,42%</t>
        </r>
      </text>
    </comment>
    <comment ref="G109" authorId="0" shapeId="0" xr:uid="{00000000-0006-0000-0300-00001C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2014.12.10 susirinkimas 11,11 %</t>
        </r>
      </text>
    </comment>
    <comment ref="F110" authorId="0" shapeId="0" xr:uid="{00000000-0006-0000-0300-00001D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2015-02-04. Pritarė 50%</t>
        </r>
      </text>
    </comment>
    <comment ref="F111" authorId="0" shapeId="0" xr:uid="{00000000-0006-0000-0300-00001E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2014-12-11. Pritarė 15,56%</t>
        </r>
      </text>
    </comment>
    <comment ref="F112" authorId="0" shapeId="0" xr:uid="{00000000-0006-0000-0300-00001F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2015-06-01, sutikimų buvo 58,33 %</t>
        </r>
      </text>
    </comment>
    <comment ref="A117" authorId="0" shapeId="0" xr:uid="{00000000-0006-0000-0300-000020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2015-10-08 tarybos sprendimu</t>
        </r>
      </text>
    </comment>
    <comment ref="A123" authorId="0" shapeId="0" xr:uid="{00000000-0006-0000-0300-000021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2016-01-28 TS</t>
        </r>
      </text>
    </comment>
    <comment ref="B123" authorId="0" shapeId="0" xr:uid="{00000000-0006-0000-0300-000022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2015-10-19</t>
        </r>
      </text>
    </comment>
    <comment ref="B124" authorId="0" shapeId="0" xr:uid="{00000000-0006-0000-0300-000023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2015-11-30
</t>
        </r>
      </text>
    </comment>
    <comment ref="B125" authorId="0" shapeId="0" xr:uid="{00000000-0006-0000-0300-000024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2015-11-10, 2015-11-04 nebuvo kvorumo</t>
        </r>
      </text>
    </comment>
    <comment ref="B126" authorId="0" shapeId="0" xr:uid="{00000000-0006-0000-0300-000025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Pritarė rengti investicijų planą 2015-12-07</t>
        </r>
      </text>
    </comment>
    <comment ref="A127" authorId="0" shapeId="0" xr:uid="{00000000-0006-0000-0300-000026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2016-06-30 TS Nr. 1TS</t>
        </r>
      </text>
    </comment>
    <comment ref="B127" authorId="0" shapeId="0" xr:uid="{00000000-0006-0000-0300-000027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2016.01.18</t>
        </r>
      </text>
    </comment>
    <comment ref="B128" authorId="0" shapeId="0" xr:uid="{00000000-0006-0000-0300-000028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2016.01.18</t>
        </r>
      </text>
    </comment>
    <comment ref="B129" authorId="0" shapeId="0" xr:uid="{00000000-0006-0000-0300-000029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2016-02-11</t>
        </r>
      </text>
    </comment>
    <comment ref="B130" authorId="0" shapeId="0" xr:uid="{00000000-0006-0000-0300-00002A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2016-02-11</t>
        </r>
      </text>
    </comment>
    <comment ref="B131" authorId="0" shapeId="0" xr:uid="{00000000-0006-0000-0300-00002B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2016-03-10</t>
        </r>
      </text>
    </comment>
    <comment ref="B132" authorId="0" shapeId="0" xr:uid="{00000000-0006-0000-0300-00002C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2016-03-21</t>
        </r>
      </text>
    </comment>
    <comment ref="B133" authorId="0" shapeId="0" xr:uid="{00000000-0006-0000-0300-00002D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2016-03-21
</t>
        </r>
      </text>
    </comment>
    <comment ref="B134" authorId="0" shapeId="0" xr:uid="{00000000-0006-0000-0300-00002E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2016-03-30
</t>
        </r>
      </text>
    </comment>
    <comment ref="B135" authorId="0" shapeId="0" xr:uid="{00000000-0006-0000-0300-00002F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2016-04-06</t>
        </r>
      </text>
    </comment>
    <comment ref="B136" authorId="0" shapeId="0" xr:uid="{00000000-0006-0000-0300-000030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2016-05-18</t>
        </r>
      </text>
    </comment>
    <comment ref="B137" authorId="0" shapeId="0" xr:uid="{00000000-0006-0000-0300-000031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2016-05-25
</t>
        </r>
      </text>
    </comment>
    <comment ref="B138" authorId="0" shapeId="0" xr:uid="{00000000-0006-0000-0300-000032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2016-05-25
</t>
        </r>
      </text>
    </comment>
    <comment ref="B139" authorId="0" shapeId="0" xr:uid="{00000000-0006-0000-0300-000033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2016-08-02
</t>
        </r>
      </text>
    </comment>
    <comment ref="B141" authorId="0" shapeId="0" xr:uid="{00000000-0006-0000-0300-000034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2016-08-08</t>
        </r>
      </text>
    </comment>
    <comment ref="B142" authorId="0" shapeId="0" xr:uid="{00000000-0006-0000-0300-000035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2016-08-08</t>
        </r>
      </text>
    </comment>
    <comment ref="B143" authorId="0" shapeId="0" xr:uid="{00000000-0006-0000-0300-000036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2016-08-10</t>
        </r>
      </text>
    </comment>
    <comment ref="G163" authorId="0" shapeId="0" xr:uid="{00000000-0006-0000-0300-000037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  <comment ref="G164" authorId="0" shapeId="0" xr:uid="{00000000-0006-0000-0300-000038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  <comment ref="G167" authorId="0" shapeId="0" xr:uid="{00000000-0006-0000-0300-000039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  <comment ref="G168" authorId="0" shapeId="0" xr:uid="{00000000-0006-0000-0300-00003A000000}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</commentList>
</comments>
</file>

<file path=xl/sharedStrings.xml><?xml version="1.0" encoding="utf-8"?>
<sst xmlns="http://schemas.openxmlformats.org/spreadsheetml/2006/main" count="2302" uniqueCount="665">
  <si>
    <t>Eil. Nr.</t>
  </si>
  <si>
    <t>Adresas</t>
  </si>
  <si>
    <t>Susirinkimo data</t>
  </si>
  <si>
    <t>Bankas</t>
  </si>
  <si>
    <t>Vasario 16-osios g. 18, Jonava</t>
  </si>
  <si>
    <t>Vilniaus g. 40, Jonava</t>
  </si>
  <si>
    <t>Parko g. 1, Jonava</t>
  </si>
  <si>
    <t>Kosmonautų g. 4, Jonava</t>
  </si>
  <si>
    <t>Panerių g. 17, Jonava</t>
  </si>
  <si>
    <t>Kauno g. 93, Jonava</t>
  </si>
  <si>
    <t>Žalioji g. 6, Jonava</t>
  </si>
  <si>
    <t>Kosmonautų g. 18, Jonava</t>
  </si>
  <si>
    <t>Vilniaus g. 33, Jonava</t>
  </si>
  <si>
    <t>Pergalės g. 4, Šveicarija</t>
  </si>
  <si>
    <t>Parko g. 3, Jonava</t>
  </si>
  <si>
    <t>Rupeikio g. 5, Rukla</t>
  </si>
  <si>
    <t>Žalioji g. 8, Jonava</t>
  </si>
  <si>
    <t>Žeimių takas 4a, Jonava</t>
  </si>
  <si>
    <t>Lietavos g. 29, Jonava</t>
  </si>
  <si>
    <t>Panerių g. 15, Jonava</t>
  </si>
  <si>
    <t>Chemikų g. 25, Jonava</t>
  </si>
  <si>
    <t>Žemaitės g. 18 II sekcija, Jonava</t>
  </si>
  <si>
    <t>Chemikų g. 29, Jonava</t>
  </si>
  <si>
    <t>Chemikų g. 55, Jonava</t>
  </si>
  <si>
    <t>Kauno g. 68, Jonava</t>
  </si>
  <si>
    <t>Fabriko g. 14, Jonava</t>
  </si>
  <si>
    <t>Vilniaus g. 29, Jonava</t>
  </si>
  <si>
    <t>Kosmonautų g. 3b, Jonava</t>
  </si>
  <si>
    <t>Chemikų g. 24, Jonava</t>
  </si>
  <si>
    <t>Kosmonautų g. 16, Jonava</t>
  </si>
  <si>
    <t>Kauno g. 94, Jonava</t>
  </si>
  <si>
    <t>Vilniaus g. 31, Jonava</t>
  </si>
  <si>
    <t>Chemikų g. 130, Jonava</t>
  </si>
  <si>
    <t>Vilties g. 31a, Jonava</t>
  </si>
  <si>
    <t>P. Vaičiūno g. 2a, Jonava</t>
  </si>
  <si>
    <t>Chemikų g. 58, Jonava</t>
  </si>
  <si>
    <t>Chemikų g. 28, Jonava</t>
  </si>
  <si>
    <t>P. Vaičiūno g. 10, Jonava</t>
  </si>
  <si>
    <t>Sodų g. 37a, Jonava</t>
  </si>
  <si>
    <t>A. Kulviečio g. 1, Jonava</t>
  </si>
  <si>
    <t>Chemikų g. 132, Jonava</t>
  </si>
  <si>
    <t>Kęstučio g. 16a, Jonava</t>
  </si>
  <si>
    <t>Lietavos g. 21, Jonava</t>
  </si>
  <si>
    <t>Mokyklos g. 14, Jonava</t>
  </si>
  <si>
    <t>Žemaitės g. 18 sekcija 1 ir sekcija 3 , Jonava</t>
  </si>
  <si>
    <t>Lietavos g. 5, Jonava</t>
  </si>
  <si>
    <t>Chemikų g. 32, Jonava</t>
  </si>
  <si>
    <t>Varnutės g. 5, Jonava</t>
  </si>
  <si>
    <t>Chemikų g. 104, Jonava</t>
  </si>
  <si>
    <t>Žeimių takas 5, Jonava</t>
  </si>
  <si>
    <t>Vasario 16-osios g. 13, Jonava</t>
  </si>
  <si>
    <t>Chemikų g. 6, Jonava</t>
  </si>
  <si>
    <t>Kosmonautų g. 14, Jonava</t>
  </si>
  <si>
    <t>Lietavos g. 13, Jonava</t>
  </si>
  <si>
    <t>A. Kulviečio g. 14, Jonava</t>
  </si>
  <si>
    <t>Chemikų g. 49, Jonava</t>
  </si>
  <si>
    <t>Klaipėdos g. 36a, Jonava</t>
  </si>
  <si>
    <t>Lietavos g. 27, Jonava</t>
  </si>
  <si>
    <t>Lietavos g. 39, Jonava</t>
  </si>
  <si>
    <t>Ruklio g. 7, Rukla</t>
  </si>
  <si>
    <t>Kauno g. 91, Jonava</t>
  </si>
  <si>
    <t>Kosmonautų g. 46, Jonava</t>
  </si>
  <si>
    <t>Rupeikio g. 1, Rukla</t>
  </si>
  <si>
    <t>Ruklio g. 10, Rukla</t>
  </si>
  <si>
    <t>Chemikų g. 122, Jonava</t>
  </si>
  <si>
    <t>Girelės g. 2a, Jonava</t>
  </si>
  <si>
    <t>Girelės g. 3, Jonava</t>
  </si>
  <si>
    <t>Girelės g. 4, Jonava</t>
  </si>
  <si>
    <t>Taip</t>
  </si>
  <si>
    <t>Balsavimo rezultatai (%)</t>
  </si>
  <si>
    <t>Chemikų g. 27, Jonava</t>
  </si>
  <si>
    <t>Lietavos g. 3, Jonava</t>
  </si>
  <si>
    <t>Neįvyko/nepritarė</t>
  </si>
  <si>
    <t>Rangovas</t>
  </si>
  <si>
    <t>IP</t>
  </si>
  <si>
    <t>Ne</t>
  </si>
  <si>
    <t>Atsisakė</t>
  </si>
  <si>
    <t>SB</t>
  </si>
  <si>
    <t>UAB "Magirnis"</t>
  </si>
  <si>
    <t>Kosmonautų g. 3, Jonava</t>
  </si>
  <si>
    <t>Chemikų g. 53, Jonava</t>
  </si>
  <si>
    <t>Chemikų g. 15, Jonava</t>
  </si>
  <si>
    <t>Chemikų g. 45, Jonava</t>
  </si>
  <si>
    <t>Vilniaus g. 35, Jonava</t>
  </si>
  <si>
    <t>Chemikų g. 98, Jonava</t>
  </si>
  <si>
    <t>Chemikų g. 43, Jonava</t>
  </si>
  <si>
    <t>Kosmonautų g. 20, Jonava</t>
  </si>
  <si>
    <t>A. Kulviečio g. 16, Jonava</t>
  </si>
  <si>
    <t>Ruklio g. 5, Rukla</t>
  </si>
  <si>
    <t>Chemikų g. 100, Jonava</t>
  </si>
  <si>
    <t>Žeimių takas 9, Jonava</t>
  </si>
  <si>
    <t>Žemaitės g. 9, Jonava</t>
  </si>
  <si>
    <t>Chemikų g. 80, Jonava</t>
  </si>
  <si>
    <t>Chemikų g. 30, Jonava</t>
  </si>
  <si>
    <t>Butų skaičius</t>
  </si>
  <si>
    <t>Savivaldybės butų skaičius</t>
  </si>
  <si>
    <t>UAB "Aukštaitijos ranga"</t>
  </si>
  <si>
    <t>UAB "Elsis TS"</t>
  </si>
  <si>
    <t>UAB "Kostum"</t>
  </si>
  <si>
    <t>UAB "Verslo bitė"</t>
  </si>
  <si>
    <t>KJS 0205</t>
  </si>
  <si>
    <t>KJS 0218</t>
  </si>
  <si>
    <t>Projekto kodas</t>
  </si>
  <si>
    <t>Chemikų g. 17, Jonava</t>
  </si>
  <si>
    <t>Chemikų g. 70, Jonava</t>
  </si>
  <si>
    <t>Chemikų g. 72, Jonava</t>
  </si>
  <si>
    <t>Chemikų g. 74, Jonava</t>
  </si>
  <si>
    <t>KJS 0207</t>
  </si>
  <si>
    <t>Sutarties pasirašymo data</t>
  </si>
  <si>
    <t>IP finans.</t>
  </si>
  <si>
    <t>Viso</t>
  </si>
  <si>
    <t>ES+</t>
  </si>
  <si>
    <t>KJS 0224</t>
  </si>
  <si>
    <t>KJS 0315</t>
  </si>
  <si>
    <t>KJS 0203</t>
  </si>
  <si>
    <t>KJS 0211</t>
  </si>
  <si>
    <t>KJS 0217</t>
  </si>
  <si>
    <t>KJS 0212</t>
  </si>
  <si>
    <t>KJS 0170</t>
  </si>
  <si>
    <t>KJS 0223</t>
  </si>
  <si>
    <t>KJS 0177</t>
  </si>
  <si>
    <t>KJS 0213</t>
  </si>
  <si>
    <t>KJS 0171</t>
  </si>
  <si>
    <t>KJS 0169</t>
  </si>
  <si>
    <t>KJS 0310</t>
  </si>
  <si>
    <t>KJS 0176</t>
  </si>
  <si>
    <t>KJS 0226</t>
  </si>
  <si>
    <t>KJS 0225</t>
  </si>
  <si>
    <t>KJS 0180</t>
  </si>
  <si>
    <t>KJS 0208</t>
  </si>
  <si>
    <t>KJS 0216</t>
  </si>
  <si>
    <t>KJS 0178</t>
  </si>
  <si>
    <t>KJS 0215</t>
  </si>
  <si>
    <t>KJS 0214</t>
  </si>
  <si>
    <t>KJS 0220</t>
  </si>
  <si>
    <t>KJS 0172</t>
  </si>
  <si>
    <t>KJS 0219</t>
  </si>
  <si>
    <t>KJS 0210</t>
  </si>
  <si>
    <t>KJS 0221</t>
  </si>
  <si>
    <t>KJS 0168</t>
  </si>
  <si>
    <t>KJS 0179</t>
  </si>
  <si>
    <t>KJS 0222</t>
  </si>
  <si>
    <t>KJS 0174</t>
  </si>
  <si>
    <t>KJS 0173</t>
  </si>
  <si>
    <t>KJS 0245</t>
  </si>
  <si>
    <t>KJS 0244</t>
  </si>
  <si>
    <t>KJS 0206</t>
  </si>
  <si>
    <t>KJS 0181</t>
  </si>
  <si>
    <t>KJS 0309</t>
  </si>
  <si>
    <t>KJS 0204</t>
  </si>
  <si>
    <t>KJS 0243</t>
  </si>
  <si>
    <t>KJS 0308</t>
  </si>
  <si>
    <t>KJS 0202</t>
  </si>
  <si>
    <t>KJS 0307</t>
  </si>
  <si>
    <t>KJS 0201</t>
  </si>
  <si>
    <t>KJS 0182</t>
  </si>
  <si>
    <t>KJS 0246</t>
  </si>
  <si>
    <t>KJS 0209</t>
  </si>
  <si>
    <t>KJS 0330</t>
  </si>
  <si>
    <t>KJS 0331</t>
  </si>
  <si>
    <t>KJS 0344</t>
  </si>
  <si>
    <t>KJS 0346</t>
  </si>
  <si>
    <t>KJS 0345</t>
  </si>
  <si>
    <t>KJ 0053</t>
  </si>
  <si>
    <t>KJS 0359</t>
  </si>
  <si>
    <t>KJS 0360</t>
  </si>
  <si>
    <t>KJS 20361</t>
  </si>
  <si>
    <t>VB+</t>
  </si>
  <si>
    <t>Kompensuota suma</t>
  </si>
  <si>
    <t>Kompensavimo datat</t>
  </si>
  <si>
    <t>Prašymo data</t>
  </si>
  <si>
    <t>KJ 0054</t>
  </si>
  <si>
    <t>KJ 0055</t>
  </si>
  <si>
    <t>KJS 20367</t>
  </si>
  <si>
    <t>UAB "Grastatas"</t>
  </si>
  <si>
    <t>P. Vaičiūno g. 20, Jonava</t>
  </si>
  <si>
    <t>KJS 20391</t>
  </si>
  <si>
    <t>KJS 20394</t>
  </si>
  <si>
    <t>KJS 20392</t>
  </si>
  <si>
    <t>KJS 20390</t>
  </si>
  <si>
    <t>KJS 20389</t>
  </si>
  <si>
    <t>KJS 20388</t>
  </si>
  <si>
    <t>KJS 20385</t>
  </si>
  <si>
    <t>KJS 20383</t>
  </si>
  <si>
    <t>KJS 20386</t>
  </si>
  <si>
    <t>KJS 20387</t>
  </si>
  <si>
    <t>KJS 20382</t>
  </si>
  <si>
    <t>KJS 20381</t>
  </si>
  <si>
    <t>KJS 20363</t>
  </si>
  <si>
    <t>KJS 20384</t>
  </si>
  <si>
    <t>KJS 20396</t>
  </si>
  <si>
    <t>KJS 20397</t>
  </si>
  <si>
    <t>KJS 20398</t>
  </si>
  <si>
    <t>KJS 20395</t>
  </si>
  <si>
    <t>KJS 20393</t>
  </si>
  <si>
    <t>KJS 20415</t>
  </si>
  <si>
    <t>KJS 20416</t>
  </si>
  <si>
    <t>KJS 20417</t>
  </si>
  <si>
    <t>KJS 20420</t>
  </si>
  <si>
    <t>KJS 20421</t>
  </si>
  <si>
    <t>KJS 20419</t>
  </si>
  <si>
    <t>KJS 20418</t>
  </si>
  <si>
    <t>-</t>
  </si>
  <si>
    <t>Lietavos g. 11, Jonava</t>
  </si>
  <si>
    <t>KJS 20512</t>
  </si>
  <si>
    <t>KJS 20513</t>
  </si>
  <si>
    <t>KJS 20514</t>
  </si>
  <si>
    <t>KJS 20516</t>
  </si>
  <si>
    <t>KJS 20517</t>
  </si>
  <si>
    <t>KJS 20510</t>
  </si>
  <si>
    <t>KJS 20511</t>
  </si>
  <si>
    <t>KJS 20515</t>
  </si>
  <si>
    <t>neįvyko</t>
  </si>
  <si>
    <t>KJS 20600</t>
  </si>
  <si>
    <t>KJS 20622</t>
  </si>
  <si>
    <t>KJS 20601</t>
  </si>
  <si>
    <t>KJS 20602</t>
  </si>
  <si>
    <t>Kosmonautų g. 24, Jonava</t>
  </si>
  <si>
    <t>Kosmonautų g. 48, Jonava</t>
  </si>
  <si>
    <t>Panerių g. 7, Jonava</t>
  </si>
  <si>
    <t>Jaunystės g. 2, Upninkai</t>
  </si>
  <si>
    <t>Plento g. 11, Liepiai</t>
  </si>
  <si>
    <t>Programoje dalyvauja</t>
  </si>
  <si>
    <t>Kompensuota suma, Lt</t>
  </si>
  <si>
    <t>UAB "Statybų vizija"</t>
  </si>
  <si>
    <t>Sutarties suma, eurais</t>
  </si>
  <si>
    <t>Sutarties suma, Litais</t>
  </si>
  <si>
    <t>UAB "CCM Baltic"</t>
  </si>
  <si>
    <t>UAB "A. Žilinskio ir ko"</t>
  </si>
  <si>
    <t>Pritarę atnaujinimui namai, kurie nebus finansuojami, nes jiems nepritarė bankas</t>
  </si>
  <si>
    <t>UAB "Dalis erdvės"</t>
  </si>
  <si>
    <t>I sąrašas</t>
  </si>
  <si>
    <t>II sąrašas</t>
  </si>
  <si>
    <t>III sąrašas</t>
  </si>
  <si>
    <t>IV sąrašas</t>
  </si>
  <si>
    <t>UAB "Aukstata"</t>
  </si>
  <si>
    <t>KJS 20671</t>
  </si>
  <si>
    <t>KJS 20670</t>
  </si>
  <si>
    <t>KJS 20669</t>
  </si>
  <si>
    <t>KJS 20675</t>
  </si>
  <si>
    <t>KJS 20674</t>
  </si>
  <si>
    <t>UAB "Consolius LT"</t>
  </si>
  <si>
    <t>Iš jų administruoja Jonavos paslaugos</t>
  </si>
  <si>
    <t>Pabaiga, užbaigimo aktas</t>
  </si>
  <si>
    <t>Atsisakė vėliau</t>
  </si>
  <si>
    <t>Žemaitės g. 8, Jonava</t>
  </si>
  <si>
    <t>Kosmonautų g. 12, Jonava</t>
  </si>
  <si>
    <t>Kompensuota suma, €</t>
  </si>
  <si>
    <t>Kosmonautų g. 26, Jonava</t>
  </si>
  <si>
    <t>Chemikų g. 26, Jonava</t>
  </si>
  <si>
    <t>Vasario 16-osios g. 13-29</t>
  </si>
  <si>
    <t>Savivaldybės buto plotas</t>
  </si>
  <si>
    <t>A. Kulviečio g. 14-10</t>
  </si>
  <si>
    <t>A. Kulviečio g. 14-42</t>
  </si>
  <si>
    <t>A. Kulviečio g. 14-43</t>
  </si>
  <si>
    <t>A. Kulviečio g. 14-44</t>
  </si>
  <si>
    <t>A. Kulviečio g. 14-49</t>
  </si>
  <si>
    <t>Kambarių skaičius</t>
  </si>
  <si>
    <t>A. Kulviečio g. 16-45</t>
  </si>
  <si>
    <t>Chemikų g. 15-3</t>
  </si>
  <si>
    <t>Chemikų g. 25-15</t>
  </si>
  <si>
    <t>Chemikų g. 25-30</t>
  </si>
  <si>
    <t>Chemikų g. 29-1</t>
  </si>
  <si>
    <t>Chemikų g. 29-75</t>
  </si>
  <si>
    <t xml:space="preserve">Chemikų g. 58-2 </t>
  </si>
  <si>
    <t>Chemikų g. 104-13</t>
  </si>
  <si>
    <t>Chemikų g. 132-1</t>
  </si>
  <si>
    <t>Chemikų g. 132-2</t>
  </si>
  <si>
    <t>Chemikų g. 132-3</t>
  </si>
  <si>
    <t>Chemikų g. 132-4</t>
  </si>
  <si>
    <t>Chemikų g. 132-5</t>
  </si>
  <si>
    <t>Chemikų g. 132-6</t>
  </si>
  <si>
    <t>Chemikų g. 132-7</t>
  </si>
  <si>
    <t>Chemikų g. 132-8</t>
  </si>
  <si>
    <t>Chemikų g. 132-9</t>
  </si>
  <si>
    <t>Chemikų g. 132-10</t>
  </si>
  <si>
    <t>Chemikų g. 132-11</t>
  </si>
  <si>
    <t>Chemikų g. 132-12</t>
  </si>
  <si>
    <t>Chemikų g. 132-13</t>
  </si>
  <si>
    <t>Chemikų g. 132-14</t>
  </si>
  <si>
    <t>Chemikų g. 132-15</t>
  </si>
  <si>
    <t>Chemikų g. 132-16</t>
  </si>
  <si>
    <t>Chemikų g. 132-17</t>
  </si>
  <si>
    <t>Chemikų g. 132-18</t>
  </si>
  <si>
    <t>Chemikų g. 132-19</t>
  </si>
  <si>
    <t>Chemikų g. 132-20</t>
  </si>
  <si>
    <t>Chemikų g. 132-21</t>
  </si>
  <si>
    <t>Chemikų g. 132-22</t>
  </si>
  <si>
    <t>Fabriko g. 14-1</t>
  </si>
  <si>
    <t>Fabriko g. 14-5B</t>
  </si>
  <si>
    <t>Kauno g. 91-11</t>
  </si>
  <si>
    <t>Kauno g. 91-23</t>
  </si>
  <si>
    <t>Kauno g. 91-33</t>
  </si>
  <si>
    <t>Kauno g. 91-36</t>
  </si>
  <si>
    <t>Kauno g. 93-13</t>
  </si>
  <si>
    <t>Kauno g. 93-32</t>
  </si>
  <si>
    <t>Kauno g. 93-40</t>
  </si>
  <si>
    <t>Kauno g. 93-46</t>
  </si>
  <si>
    <t>Kęstučio g. 16A-44</t>
  </si>
  <si>
    <t>Kosmonautų g. 3-20</t>
  </si>
  <si>
    <t>Kosmonautų g. 3-27</t>
  </si>
  <si>
    <t>Kosmonautų g. 3-30</t>
  </si>
  <si>
    <t>Kosmonautų g. 3-32</t>
  </si>
  <si>
    <t>Kosmonautų g. 3b-4</t>
  </si>
  <si>
    <t>Kosmonautų g. 3b-37</t>
  </si>
  <si>
    <t>Kosmonautų g. 11-3</t>
  </si>
  <si>
    <t>Kosmonautų g. 11-50</t>
  </si>
  <si>
    <t>Kosmonautų g. 16-1</t>
  </si>
  <si>
    <t>Kosmonautų g. 16-6</t>
  </si>
  <si>
    <t>Kosmonautų g. 16-13</t>
  </si>
  <si>
    <t>Kosmonautų g. 16-34</t>
  </si>
  <si>
    <t xml:space="preserve">Kosmonautų g. 16-42 </t>
  </si>
  <si>
    <t>Kosmonautų g. 16-66</t>
  </si>
  <si>
    <t>Kosmonautų g. 18-11</t>
  </si>
  <si>
    <t>Kosmonautų g. 18-14</t>
  </si>
  <si>
    <t>Kosmonautų g. 18-27</t>
  </si>
  <si>
    <t>Kosmonautų g. 18-58</t>
  </si>
  <si>
    <t>Kosmonautų g. 20-14</t>
  </si>
  <si>
    <t>Kosmonautų g. 20-43</t>
  </si>
  <si>
    <t>Kosmonautų g. 20-52</t>
  </si>
  <si>
    <t>Kosmonautų g. 20-60</t>
  </si>
  <si>
    <t>Kosmonautų g. 24-42</t>
  </si>
  <si>
    <t>Kosmonautų g. 24-45</t>
  </si>
  <si>
    <t>Kosmonautų g. 46-27</t>
  </si>
  <si>
    <t>Kosmonautų g. 46-29</t>
  </si>
  <si>
    <t>Kosmonautų g. 46-32</t>
  </si>
  <si>
    <t>Kosmonautų g. 46-58</t>
  </si>
  <si>
    <t>Kosmonautų g. 48-2</t>
  </si>
  <si>
    <t>Kosmonautų g. 48-14</t>
  </si>
  <si>
    <t>Kosmonautų g. 48-56</t>
  </si>
  <si>
    <t>Lietavos g. 21-7</t>
  </si>
  <si>
    <t xml:space="preserve">Lietavos g. 27-2        </t>
  </si>
  <si>
    <t>Lietavos g. 27-24</t>
  </si>
  <si>
    <t>Lietavos g. 27-48</t>
  </si>
  <si>
    <t>Lietavos g. 9-33</t>
  </si>
  <si>
    <t xml:space="preserve">P.Vaičiūno g. 2a-15 </t>
  </si>
  <si>
    <t>Panerių g. 15-4</t>
  </si>
  <si>
    <t>Panerių g. 15-29</t>
  </si>
  <si>
    <t>Panerių g. 15-35</t>
  </si>
  <si>
    <t>Parko g. 1-1</t>
  </si>
  <si>
    <t>Parko g. 1-13</t>
  </si>
  <si>
    <t>Parko g. 3-42</t>
  </si>
  <si>
    <t>Parko g. 3-35</t>
  </si>
  <si>
    <t>Sodų g. 37a-3</t>
  </si>
  <si>
    <t>Sodų g. 37a-26</t>
  </si>
  <si>
    <t>Sodų g. 37a-46</t>
  </si>
  <si>
    <t xml:space="preserve">Sodų g. 37a-60 </t>
  </si>
  <si>
    <t>Sodų g. 37a-73</t>
  </si>
  <si>
    <t>Sodų g. 37a-75</t>
  </si>
  <si>
    <t>Sodų g. 37a-93</t>
  </si>
  <si>
    <t>Varnutės g. 5-5</t>
  </si>
  <si>
    <t>Vilniaus g. 29-26</t>
  </si>
  <si>
    <t>Vilniaus g. 31-10</t>
  </si>
  <si>
    <t>Vilniaus g. 31-44</t>
  </si>
  <si>
    <t>Vilniaus g. 35-23</t>
  </si>
  <si>
    <t>Vilniaus g. 35-29</t>
  </si>
  <si>
    <t>Vilniaus g. 35-31</t>
  </si>
  <si>
    <t>Žalioji g. 6-4</t>
  </si>
  <si>
    <t>Žalioji g. 9-46</t>
  </si>
  <si>
    <t>Ruklio g. 5-11</t>
  </si>
  <si>
    <t>Ruklio g. 5-14</t>
  </si>
  <si>
    <t>Ruklio g. 5-18</t>
  </si>
  <si>
    <t>Ruklio g. 5-26</t>
  </si>
  <si>
    <t>Ruklio g. 5-29</t>
  </si>
  <si>
    <t>Ruklio g. 5-37</t>
  </si>
  <si>
    <t>Ruklio g. 5-38</t>
  </si>
  <si>
    <t>Liepių k., Plento g. 11-1</t>
  </si>
  <si>
    <t>Liepių k., Plento g. 11-2</t>
  </si>
  <si>
    <t>Liepių k., Plento g. 11-3</t>
  </si>
  <si>
    <t>Liepių k., Plento g. 11-4</t>
  </si>
  <si>
    <t>Liepių k., Plento g. 11-5</t>
  </si>
  <si>
    <t>Administravimo išlaidos</t>
  </si>
  <si>
    <t>Vidutinis butas</t>
  </si>
  <si>
    <t>Vidutinės išlaidos mėnesiui 1 butui</t>
  </si>
  <si>
    <t>Įmokos kredito ir palūkanų dengimui</t>
  </si>
  <si>
    <t>Pergalės g. 7, Šveicarija</t>
  </si>
  <si>
    <t>PL</t>
  </si>
  <si>
    <t xml:space="preserve">UAB "Dailista" </t>
  </si>
  <si>
    <t>UAB "Dailista"</t>
  </si>
  <si>
    <t>Ranga baigta</t>
  </si>
  <si>
    <t>Ataskaitos savininkams</t>
  </si>
  <si>
    <t>Ataskaitos, priskaitymai</t>
  </si>
  <si>
    <t>A. Kulviečio g. 17, Jonava</t>
  </si>
  <si>
    <t>A. Kulviečio g. 20, Jonava (B)</t>
  </si>
  <si>
    <t>Lietavos g. 11, Jonava (B)</t>
  </si>
  <si>
    <t>Lietavos g. 13, Jonava (B)</t>
  </si>
  <si>
    <t>Kosmonautų g. 32, Jonava</t>
  </si>
  <si>
    <t>Kosmonautų g. 5, Jonava (B)</t>
  </si>
  <si>
    <t>Žeimių takas 3, Jonava (B)</t>
  </si>
  <si>
    <t>Lietavos g. 43, Jonava (B)</t>
  </si>
  <si>
    <t>Chemikų g. 36, Jonava (B)</t>
  </si>
  <si>
    <t>Varnutės g. 3a, Jonava (B)</t>
  </si>
  <si>
    <t>Suvalkiečių g. 3, Juškonys (JV)</t>
  </si>
  <si>
    <t>Žalioji g. 9, Jonava</t>
  </si>
  <si>
    <t>Lietavos g. 9, Jonava</t>
  </si>
  <si>
    <t>Chemikų g. 60, Jonava</t>
  </si>
  <si>
    <t>Pritarę atnaujinimui namai, kuriuose (bus) vykdomi darbai</t>
  </si>
  <si>
    <t>Vasario 16-osios g. 15</t>
  </si>
  <si>
    <t>Žemaitės g. 12</t>
  </si>
  <si>
    <t>Neįvykę pirminiai susirinkimai</t>
  </si>
  <si>
    <t>Susirinkimai</t>
  </si>
  <si>
    <t>Pritarusių %</t>
  </si>
  <si>
    <t>Nebuvo kvorumo</t>
  </si>
  <si>
    <t>Chemikų g. 106 (B)</t>
  </si>
  <si>
    <t>Kosmonautų g. 11, Jonava</t>
  </si>
  <si>
    <t>Kosmonautų g. 22</t>
  </si>
  <si>
    <t>Žeimių takas 1 (B)</t>
  </si>
  <si>
    <t>Chemikų g. 23</t>
  </si>
  <si>
    <t>Užbaigimo aktų</t>
  </si>
  <si>
    <t>Atsiskaityta</t>
  </si>
  <si>
    <t>Namai, turintys rangovus</t>
  </si>
  <si>
    <t>Rangos sutarčių suma, lt</t>
  </si>
  <si>
    <t>Rangos sutarčių suma, €</t>
  </si>
  <si>
    <t>Pritarę namai</t>
  </si>
  <si>
    <t>Banko patvirtinti namai</t>
  </si>
  <si>
    <t>Kredito grąžinimo administravimas 0,028€/kv.m./mėn.</t>
  </si>
  <si>
    <t>Administravimo išlaidos 0,051€/kv.m./ mėn.</t>
  </si>
  <si>
    <t>Kasmėnesinė kredito ir palūkanų įmoka, €</t>
  </si>
  <si>
    <t>Žemaitės g. 5</t>
  </si>
  <si>
    <t>A. Kulviečio g. 21</t>
  </si>
  <si>
    <t>Chemikų g. 31</t>
  </si>
  <si>
    <t>A. Kulviečio g. 23</t>
  </si>
  <si>
    <t>Kosmonautų g. 8</t>
  </si>
  <si>
    <t>Lietavos g. 7</t>
  </si>
  <si>
    <t>AB "Panevėžio statybos trestas"</t>
  </si>
  <si>
    <t>Chemikų g. 39</t>
  </si>
  <si>
    <t>Chemikų g. 51</t>
  </si>
  <si>
    <t>Kosmonautų g. 6</t>
  </si>
  <si>
    <t>Vilniaus g. 9</t>
  </si>
  <si>
    <t>Chemikų g. 19 (B)</t>
  </si>
  <si>
    <t>Chemikų g. 120</t>
  </si>
  <si>
    <t>Litetavos g. 51 (B)</t>
  </si>
  <si>
    <t>Chemikų g. 118 (B)</t>
  </si>
  <si>
    <t>Lietavos g. 15</t>
  </si>
  <si>
    <t>Lietavos g. 47</t>
  </si>
  <si>
    <t>Planuojami namai, IP SB lėšomis su ES kompensacija</t>
  </si>
  <si>
    <t>V sąrašas</t>
  </si>
  <si>
    <t>Sodų g. 31</t>
  </si>
  <si>
    <t>Sodų g. 43</t>
  </si>
  <si>
    <t>Sodų g. 40</t>
  </si>
  <si>
    <t>Sodų g. 50A</t>
  </si>
  <si>
    <t>Sodų g. 65</t>
  </si>
  <si>
    <t>Vasario 16-osios g. 17</t>
  </si>
  <si>
    <t>Žalioji g. 10</t>
  </si>
  <si>
    <t>Žalioji g. 17</t>
  </si>
  <si>
    <t>Kosmonautų g. 28</t>
  </si>
  <si>
    <t>Kosmonautų g. 30</t>
  </si>
  <si>
    <t>Kosmonautų g. 42</t>
  </si>
  <si>
    <t>Kosmonautų g. 3A</t>
  </si>
  <si>
    <t>Statybos metai</t>
  </si>
  <si>
    <t>Lietavos g. 17</t>
  </si>
  <si>
    <t>Lietavos g. 19</t>
  </si>
  <si>
    <t>Lietavos g. 23</t>
  </si>
  <si>
    <t>Lietavos g. 25</t>
  </si>
  <si>
    <t>Lietavos g. 33</t>
  </si>
  <si>
    <t>Lietavos g. 35</t>
  </si>
  <si>
    <t>Lietavos g. 37</t>
  </si>
  <si>
    <t>Lietavos g. 41</t>
  </si>
  <si>
    <t>Lietavos g. 45</t>
  </si>
  <si>
    <t>Lietavos g. 49 (B)</t>
  </si>
  <si>
    <t>Žeimių takas 6</t>
  </si>
  <si>
    <t>Žeimių takas 4</t>
  </si>
  <si>
    <t>yra prašymas</t>
  </si>
  <si>
    <t>UAB "Anrestas"</t>
  </si>
  <si>
    <t>P. Vaičiūno g. 8</t>
  </si>
  <si>
    <t>JP info apie gautus prašymus</t>
  </si>
  <si>
    <t>J. Ralio g. 9</t>
  </si>
  <si>
    <t>Žeimių g. 3</t>
  </si>
  <si>
    <t>A. Kuviečio g. 11</t>
  </si>
  <si>
    <t>Kauno g. 44</t>
  </si>
  <si>
    <t>Sodų g. 37a-65</t>
  </si>
  <si>
    <t>Sodų g. 37a-71</t>
  </si>
  <si>
    <t>A.Žilinskio ir ko</t>
  </si>
  <si>
    <t>Viso pagal tarybos sprendimus</t>
  </si>
  <si>
    <t>Viso pagal BETA suderinimą</t>
  </si>
  <si>
    <t>Sodų g. 1, Jonava (B)</t>
  </si>
  <si>
    <t>Išlaidų poreikis 2017m.</t>
  </si>
  <si>
    <t>Mokyklos 14</t>
  </si>
  <si>
    <t>Chemikų 60</t>
  </si>
  <si>
    <t>Chemikų 80</t>
  </si>
  <si>
    <t>Jaunystės g. 2</t>
  </si>
  <si>
    <t>P.Vaičiūno g. 10</t>
  </si>
  <si>
    <t>Kredito administravimas</t>
  </si>
  <si>
    <t>Chemikų g. 14</t>
  </si>
  <si>
    <t>Lietavos 19</t>
  </si>
  <si>
    <t>UAB "A.Žilinskio ir ko"</t>
  </si>
  <si>
    <t>Kompensavimo data</t>
  </si>
  <si>
    <t>Kosmonautų g. 22, Jonava</t>
  </si>
  <si>
    <t>Kosmonautų g. 8, Jonava</t>
  </si>
  <si>
    <t>Vilniaus g. 9, Jonava</t>
  </si>
  <si>
    <t>Kosmonautų g. 6, Jonava</t>
  </si>
  <si>
    <t>Nepritarę atnaujinimui namai, kurie nebus atnaujinami</t>
  </si>
  <si>
    <t>Iš jų administruoja JP</t>
  </si>
  <si>
    <t>UAB "Bodesa"</t>
  </si>
  <si>
    <t>UAB "Kėdainių apdaila"</t>
  </si>
  <si>
    <t>KJS 30710</t>
  </si>
  <si>
    <t>KJS 30705</t>
  </si>
  <si>
    <t>KJS 30706</t>
  </si>
  <si>
    <t>KJS 30709</t>
  </si>
  <si>
    <t>KJS 30708</t>
  </si>
  <si>
    <t>KJS 30707</t>
  </si>
  <si>
    <t>KJS 30704</t>
  </si>
  <si>
    <t>Kosmonautų g. 6-16</t>
  </si>
  <si>
    <t>Kosmonautų g. 6-46</t>
  </si>
  <si>
    <t>Kosmonautų g. 6-49</t>
  </si>
  <si>
    <t>Kosmonautų g. 12-27</t>
  </si>
  <si>
    <t>Kosmonautų g. 12-52</t>
  </si>
  <si>
    <t>Kosmonautų g. 22-15</t>
  </si>
  <si>
    <t>Kosmonautų g. 26-8</t>
  </si>
  <si>
    <t>Kosmonautų g. 26-23</t>
  </si>
  <si>
    <t>Kosmonautų g. 26-32</t>
  </si>
  <si>
    <t>Kosmonautų g. 22-37</t>
  </si>
  <si>
    <t>Vilniaus g. 9-17</t>
  </si>
  <si>
    <t>UAB "Statybų vizija", UAB "Ekodora"</t>
  </si>
  <si>
    <t>Pateiktos paraiškos</t>
  </si>
  <si>
    <t>A.Kulviečio g. 11</t>
  </si>
  <si>
    <t>Chemikų g. 21</t>
  </si>
  <si>
    <t>Laumės g. 2, Rukla</t>
  </si>
  <si>
    <t>P.Vaičiūno g. 8</t>
  </si>
  <si>
    <t>Suvalkiečių g. 3, Juškonys</t>
  </si>
  <si>
    <t>J.Ralio g. 9</t>
  </si>
  <si>
    <t>Pergalės g. 15, Šveicarija</t>
  </si>
  <si>
    <t>Žemaitės g. 14 (B)</t>
  </si>
  <si>
    <t>Geležinkelio g. 8</t>
  </si>
  <si>
    <t>Lietavos g. 29</t>
  </si>
  <si>
    <t>A.Kulviečio g. 6</t>
  </si>
  <si>
    <t>Kosmonautų g. 32</t>
  </si>
  <si>
    <t>P.Vaičiūno g. 12</t>
  </si>
  <si>
    <t>Chemikų g. 35</t>
  </si>
  <si>
    <t>Kosmonautų g. 7</t>
  </si>
  <si>
    <t>Lietavos g. 13 (B)</t>
  </si>
  <si>
    <t>Girelės g. 4</t>
  </si>
  <si>
    <t>P.Vaičiūno g. 2B</t>
  </si>
  <si>
    <t>Chemikų g. 41</t>
  </si>
  <si>
    <t>Vilniaus g. 40</t>
  </si>
  <si>
    <t>Lokio g. 8, Šilai</t>
  </si>
  <si>
    <t>Saulės g. 10, Užusaliai</t>
  </si>
  <si>
    <t>KJS 60836</t>
  </si>
  <si>
    <t>KJS 60840K</t>
  </si>
  <si>
    <t>V kvietimas</t>
  </si>
  <si>
    <t>VI kvietimas</t>
  </si>
  <si>
    <t>KJS60848K</t>
  </si>
  <si>
    <t>KJS60845K</t>
  </si>
  <si>
    <t>KJS60844K</t>
  </si>
  <si>
    <t>KJS60837K</t>
  </si>
  <si>
    <t>KJS60851K</t>
  </si>
  <si>
    <t>KJS60846K</t>
  </si>
  <si>
    <t>KJS60849K</t>
  </si>
  <si>
    <t>KJS60847K</t>
  </si>
  <si>
    <t>KJS60853K</t>
  </si>
  <si>
    <t>KJS60850</t>
  </si>
  <si>
    <t>KJS60835K</t>
  </si>
  <si>
    <t>KJS60858K</t>
  </si>
  <si>
    <t>KJS60854K</t>
  </si>
  <si>
    <t>Pateikta 2019-02-01 su VI kvietimu</t>
  </si>
  <si>
    <t>Planuojami</t>
  </si>
  <si>
    <t>UAB "Dengsta"</t>
  </si>
  <si>
    <t>UAB "Žilinskas ir Co"</t>
  </si>
  <si>
    <t>Chemikų g. 64</t>
  </si>
  <si>
    <t>UAB "Adista"</t>
  </si>
  <si>
    <t>UAB "Atriumas"</t>
  </si>
  <si>
    <t>UAB "Drūtnamis"</t>
  </si>
  <si>
    <t>UAB "Tekanas"</t>
  </si>
  <si>
    <t>Lietavos g. 11B</t>
  </si>
  <si>
    <t>Chemikų g. 62</t>
  </si>
  <si>
    <t>Pergalės g.7, Šveicarija</t>
  </si>
  <si>
    <t>A.Kulviečio g. 32</t>
  </si>
  <si>
    <t>Rudmėnų g. 4, Užusaliai</t>
  </si>
  <si>
    <t>P.Vaičiūno g. 14</t>
  </si>
  <si>
    <t>Chemikų g. 27</t>
  </si>
  <si>
    <t>Varnutės g. 13</t>
  </si>
  <si>
    <t>Žemaitės g. 16</t>
  </si>
  <si>
    <t>Jonavos g. 3, Bukonys</t>
  </si>
  <si>
    <t>A.Kulviečio g. 4</t>
  </si>
  <si>
    <t>2019-07--22</t>
  </si>
  <si>
    <t>UAB "Verslo"</t>
  </si>
  <si>
    <t>UAB "Mureka'</t>
  </si>
  <si>
    <t>KJS70927</t>
  </si>
  <si>
    <t>Geležinkelio g. 2</t>
  </si>
  <si>
    <t>Chemikų g. 66</t>
  </si>
  <si>
    <t>Chemikų g. 114</t>
  </si>
  <si>
    <t>KJS70944K</t>
  </si>
  <si>
    <t>KJS70942KJ</t>
  </si>
  <si>
    <t>KJS70943</t>
  </si>
  <si>
    <t>KJS70941</t>
  </si>
  <si>
    <t>KJS70945</t>
  </si>
  <si>
    <t>KJS70947K</t>
  </si>
  <si>
    <t>KJS70946K</t>
  </si>
  <si>
    <t>KJS70940K</t>
  </si>
  <si>
    <t>KJS70956</t>
  </si>
  <si>
    <t>KJS70954K</t>
  </si>
  <si>
    <t>KJS70975K</t>
  </si>
  <si>
    <t>KJS70974</t>
  </si>
  <si>
    <t>KJS70976</t>
  </si>
  <si>
    <t>KJS70955</t>
  </si>
  <si>
    <t>KJS70963K</t>
  </si>
  <si>
    <t>KJS70962K</t>
  </si>
  <si>
    <t>UAB "Aesta"</t>
  </si>
  <si>
    <t>UAB 'Tekanas"</t>
  </si>
  <si>
    <t>UAB "Guresta"</t>
  </si>
  <si>
    <t>UAB 'Daistatus"</t>
  </si>
  <si>
    <t>Chemikų g. 47</t>
  </si>
  <si>
    <t>Chemikų g. 57</t>
  </si>
  <si>
    <t>A.Kulviečio g. 3</t>
  </si>
  <si>
    <t>A.Kulviečio g. 8</t>
  </si>
  <si>
    <t>A.Kulviečio g. 19</t>
  </si>
  <si>
    <t>Chemikų g. 116</t>
  </si>
  <si>
    <t>Chemikų g. 134</t>
  </si>
  <si>
    <t>KJS40726</t>
  </si>
  <si>
    <t>KJS40722</t>
  </si>
  <si>
    <t>KJS40724</t>
  </si>
  <si>
    <t>KJS40725</t>
  </si>
  <si>
    <t>KJS40729</t>
  </si>
  <si>
    <t>KJS40728</t>
  </si>
  <si>
    <t>KJS40727</t>
  </si>
  <si>
    <t>KJS40723</t>
  </si>
  <si>
    <t>KJS50749</t>
  </si>
  <si>
    <t>KJS50758</t>
  </si>
  <si>
    <t>KJS50737</t>
  </si>
  <si>
    <t>KJS50762</t>
  </si>
  <si>
    <t>KJS50759</t>
  </si>
  <si>
    <t>KJS50738</t>
  </si>
  <si>
    <t>KJS50766</t>
  </si>
  <si>
    <t>KJS50769</t>
  </si>
  <si>
    <t>KJS50767</t>
  </si>
  <si>
    <t>KJS50770</t>
  </si>
  <si>
    <t>KJS50760</t>
  </si>
  <si>
    <t>KJS50739</t>
  </si>
  <si>
    <t>KJS50774</t>
  </si>
  <si>
    <t>KJS50834</t>
  </si>
  <si>
    <t>KJS56773</t>
  </si>
  <si>
    <t>KJS50752</t>
  </si>
  <si>
    <t>KJS50750</t>
  </si>
  <si>
    <t>KJS50756</t>
  </si>
  <si>
    <t>KJS50771</t>
  </si>
  <si>
    <t>KJS50763</t>
  </si>
  <si>
    <t>Šviesos g. 2, Šveicarija</t>
  </si>
  <si>
    <t>P.Vaičiūno g. 4</t>
  </si>
  <si>
    <t>P.Vaičiūno g. 20</t>
  </si>
  <si>
    <t>A.Kulviečio g. 22</t>
  </si>
  <si>
    <t>A.Kulviečio g. 2</t>
  </si>
  <si>
    <t>Chemikų g. 49</t>
  </si>
  <si>
    <t>Chemikų g. 13</t>
  </si>
  <si>
    <t>A.Kulviečio g. 5</t>
  </si>
  <si>
    <t>Žeimių t. 4</t>
  </si>
  <si>
    <t>P.Vaičiūno g. 18</t>
  </si>
  <si>
    <t>Chemikų g. 88</t>
  </si>
  <si>
    <t>Mokyklos g. 10</t>
  </si>
  <si>
    <t>A.Kulviečio g. 7</t>
  </si>
  <si>
    <t>Ruklio g. 3, Rukla</t>
  </si>
  <si>
    <t>Žemaitės g. 6</t>
  </si>
  <si>
    <t>P.Vaičiūno g. 6</t>
  </si>
  <si>
    <t>Piliakalnio g. 14, Rukla</t>
  </si>
  <si>
    <t>Piliakalnio g. 8, Rukla</t>
  </si>
  <si>
    <t>Piliakalnio g. 6, Rukla</t>
  </si>
  <si>
    <t>Piliakalnio g. 10, Rukla</t>
  </si>
  <si>
    <t>Chemikų g. 19</t>
  </si>
  <si>
    <t>UAB "Kauno statybų ranga"</t>
  </si>
  <si>
    <t>UAB "Statybų teka"</t>
  </si>
  <si>
    <t>VII kvietimas</t>
  </si>
  <si>
    <t>60863k</t>
  </si>
  <si>
    <t>60859k</t>
  </si>
  <si>
    <t>60858k</t>
  </si>
  <si>
    <t>60861k</t>
  </si>
  <si>
    <t>60860k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</si>
</sst>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t_-;\-* #,##0.00\ _L_t_-;_-* &quot;-&quot;??\ _L_t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sz val="10"/>
      <name val="Arial"/>
      <family val="2"/>
      <charset val="186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Times New Roman"/>
      <family val="1"/>
      <charset val="186"/>
    </font>
    <font>
      <sz val="8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9" fontId="8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486">
    <xf numFmtId="0" fontId="0" fillId="0" borderId="0" xfId="0"/>
    <xf numFmtId="0" fontId="0" fillId="0" borderId="0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5" xfId="0" applyBorder="1"/>
    <xf numFmtId="0" fontId="0" fillId="0" borderId="16" xfId="0" applyBorder="1"/>
    <xf numFmtId="0" fontId="0" fillId="0" borderId="21" xfId="0" applyBorder="1"/>
    <xf numFmtId="0" fontId="0" fillId="0" borderId="8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3" borderId="7" xfId="0" applyFill="1" applyBorder="1"/>
    <xf numFmtId="0" fontId="0" fillId="4" borderId="2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wrapText="1"/>
    </xf>
    <xf numFmtId="0" fontId="0" fillId="4" borderId="19" xfId="0" applyFill="1" applyBorder="1"/>
    <xf numFmtId="0" fontId="0" fillId="4" borderId="19" xfId="0" applyFill="1" applyBorder="1" applyAlignment="1">
      <alignment horizontal="left" wrapText="1"/>
    </xf>
    <xf numFmtId="0" fontId="0" fillId="4" borderId="1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3" borderId="13" xfId="0" applyFill="1" applyBorder="1"/>
    <xf numFmtId="0" fontId="0" fillId="3" borderId="22" xfId="0" applyFill="1" applyBorder="1"/>
    <xf numFmtId="10" fontId="0" fillId="3" borderId="5" xfId="0" applyNumberFormat="1" applyFill="1" applyBorder="1"/>
    <xf numFmtId="0" fontId="0" fillId="3" borderId="9" xfId="0" applyFill="1" applyBorder="1"/>
    <xf numFmtId="10" fontId="0" fillId="3" borderId="15" xfId="0" applyNumberFormat="1" applyFill="1" applyBorder="1"/>
    <xf numFmtId="10" fontId="0" fillId="3" borderId="6" xfId="0" applyNumberFormat="1" applyFill="1" applyBorder="1"/>
    <xf numFmtId="0" fontId="3" fillId="0" borderId="0" xfId="0" applyFont="1" applyBorder="1"/>
    <xf numFmtId="0" fontId="0" fillId="3" borderId="16" xfId="0" applyFill="1" applyBorder="1"/>
    <xf numFmtId="0" fontId="0" fillId="0" borderId="0" xfId="0" applyFill="1"/>
    <xf numFmtId="0" fontId="0" fillId="3" borderId="10" xfId="0" applyFill="1" applyBorder="1"/>
    <xf numFmtId="0" fontId="0" fillId="3" borderId="8" xfId="0" applyFill="1" applyBorder="1"/>
    <xf numFmtId="0" fontId="0" fillId="4" borderId="2" xfId="0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3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 wrapText="1"/>
    </xf>
    <xf numFmtId="0" fontId="0" fillId="4" borderId="21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12" xfId="0" applyFill="1" applyBorder="1"/>
    <xf numFmtId="0" fontId="4" fillId="0" borderId="0" xfId="0" applyFont="1" applyFill="1" applyBorder="1" applyAlignment="1">
      <alignment horizontal="center"/>
    </xf>
    <xf numFmtId="0" fontId="0" fillId="3" borderId="11" xfId="0" applyFill="1" applyBorder="1"/>
    <xf numFmtId="0" fontId="0" fillId="0" borderId="0" xfId="0" applyFill="1" applyBorder="1"/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/>
    <xf numFmtId="0" fontId="0" fillId="0" borderId="18" xfId="0" applyBorder="1"/>
    <xf numFmtId="10" fontId="0" fillId="3" borderId="15" xfId="0" applyNumberFormat="1" applyFill="1" applyBorder="1" applyAlignment="1"/>
    <xf numFmtId="4" fontId="5" fillId="0" borderId="0" xfId="0" applyNumberFormat="1" applyFont="1" applyBorder="1"/>
    <xf numFmtId="0" fontId="0" fillId="4" borderId="1" xfId="0" applyFill="1" applyBorder="1" applyAlignment="1">
      <alignment horizontal="center" vertical="center" wrapText="1"/>
    </xf>
    <xf numFmtId="14" fontId="0" fillId="0" borderId="0" xfId="0" applyNumberFormat="1" applyFill="1" applyBorder="1"/>
    <xf numFmtId="0" fontId="7" fillId="3" borderId="16" xfId="0" applyFont="1" applyFill="1" applyBorder="1"/>
    <xf numFmtId="0" fontId="7" fillId="3" borderId="7" xfId="0" applyFont="1" applyFill="1" applyBorder="1"/>
    <xf numFmtId="0" fontId="3" fillId="3" borderId="7" xfId="0" applyFont="1" applyFill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2" fontId="0" fillId="0" borderId="32" xfId="0" applyNumberFormat="1" applyBorder="1"/>
    <xf numFmtId="10" fontId="0" fillId="3" borderId="5" xfId="2" applyNumberFormat="1" applyFont="1" applyFill="1" applyBorder="1"/>
    <xf numFmtId="0" fontId="0" fillId="3" borderId="5" xfId="0" applyFill="1" applyBorder="1"/>
    <xf numFmtId="14" fontId="0" fillId="0" borderId="0" xfId="0" applyNumberFormat="1" applyBorder="1"/>
    <xf numFmtId="16" fontId="0" fillId="0" borderId="0" xfId="0" applyNumberFormat="1" applyFill="1" applyBorder="1"/>
    <xf numFmtId="0" fontId="0" fillId="3" borderId="15" xfId="0" applyFill="1" applyBorder="1"/>
    <xf numFmtId="0" fontId="0" fillId="3" borderId="31" xfId="0" applyFill="1" applyBorder="1"/>
    <xf numFmtId="10" fontId="0" fillId="3" borderId="12" xfId="2" applyNumberFormat="1" applyFont="1" applyFill="1" applyBorder="1"/>
    <xf numFmtId="0" fontId="0" fillId="4" borderId="1" xfId="0" applyFill="1" applyBorder="1" applyAlignment="1">
      <alignment wrapText="1"/>
    </xf>
    <xf numFmtId="0" fontId="0" fillId="3" borderId="23" xfId="0" applyFill="1" applyBorder="1"/>
    <xf numFmtId="0" fontId="0" fillId="3" borderId="19" xfId="0" applyFill="1" applyBorder="1"/>
    <xf numFmtId="0" fontId="0" fillId="3" borderId="21" xfId="0" applyFill="1" applyBorder="1"/>
    <xf numFmtId="0" fontId="0" fillId="0" borderId="5" xfId="0" applyFill="1" applyBorder="1"/>
    <xf numFmtId="0" fontId="0" fillId="0" borderId="9" xfId="0" applyFill="1" applyBorder="1"/>
    <xf numFmtId="14" fontId="0" fillId="0" borderId="7" xfId="0" applyNumberFormat="1" applyFill="1" applyBorder="1"/>
    <xf numFmtId="14" fontId="0" fillId="0" borderId="26" xfId="0" applyNumberFormat="1" applyBorder="1"/>
    <xf numFmtId="0" fontId="0" fillId="0" borderId="15" xfId="0" applyFill="1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3" borderId="6" xfId="0" applyFill="1" applyBorder="1"/>
    <xf numFmtId="0" fontId="4" fillId="0" borderId="32" xfId="0" applyFont="1" applyBorder="1"/>
    <xf numFmtId="0" fontId="4" fillId="0" borderId="32" xfId="0" applyFont="1" applyFill="1" applyBorder="1"/>
    <xf numFmtId="4" fontId="11" fillId="0" borderId="32" xfId="0" applyNumberFormat="1" applyFont="1" applyBorder="1"/>
    <xf numFmtId="0" fontId="0" fillId="0" borderId="32" xfId="0" applyFill="1" applyBorder="1"/>
    <xf numFmtId="0" fontId="7" fillId="3" borderId="9" xfId="0" applyFont="1" applyFill="1" applyBorder="1"/>
    <xf numFmtId="2" fontId="0" fillId="3" borderId="5" xfId="0" applyNumberFormat="1" applyFill="1" applyBorder="1"/>
    <xf numFmtId="0" fontId="7" fillId="3" borderId="5" xfId="0" applyFont="1" applyFill="1" applyBorder="1"/>
    <xf numFmtId="0" fontId="0" fillId="0" borderId="31" xfId="0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/>
    <xf numFmtId="0" fontId="0" fillId="3" borderId="45" xfId="0" applyFill="1" applyBorder="1"/>
    <xf numFmtId="0" fontId="0" fillId="4" borderId="4" xfId="0" applyFill="1" applyBorder="1"/>
    <xf numFmtId="0" fontId="0" fillId="3" borderId="12" xfId="0" applyFill="1" applyBorder="1"/>
    <xf numFmtId="0" fontId="0" fillId="3" borderId="44" xfId="0" applyFill="1" applyBorder="1"/>
    <xf numFmtId="10" fontId="0" fillId="3" borderId="15" xfId="2" applyNumberFormat="1" applyFont="1" applyFill="1" applyBorder="1"/>
    <xf numFmtId="10" fontId="0" fillId="3" borderId="5" xfId="0" applyNumberFormat="1" applyFill="1" applyBorder="1" applyAlignment="1"/>
    <xf numFmtId="10" fontId="0" fillId="3" borderId="12" xfId="0" applyNumberFormat="1" applyFill="1" applyBorder="1" applyAlignment="1"/>
    <xf numFmtId="0" fontId="2" fillId="0" borderId="0" xfId="0" applyFont="1" applyFill="1" applyBorder="1" applyAlignment="1">
      <alignment horizontal="center"/>
    </xf>
    <xf numFmtId="3" fontId="11" fillId="0" borderId="32" xfId="0" applyNumberFormat="1" applyFont="1" applyBorder="1"/>
    <xf numFmtId="0" fontId="0" fillId="0" borderId="12" xfId="0" applyFill="1" applyBorder="1"/>
    <xf numFmtId="0" fontId="0" fillId="0" borderId="21" xfId="0" applyFill="1" applyBorder="1"/>
    <xf numFmtId="0" fontId="0" fillId="0" borderId="23" xfId="0" applyFill="1" applyBorder="1"/>
    <xf numFmtId="0" fontId="0" fillId="0" borderId="46" xfId="0" applyBorder="1"/>
    <xf numFmtId="0" fontId="0" fillId="0" borderId="0" xfId="0" applyFill="1" applyBorder="1" applyAlignment="1">
      <alignment horizontal="center" vertical="center"/>
    </xf>
    <xf numFmtId="10" fontId="0" fillId="0" borderId="0" xfId="0" applyNumberFormat="1" applyFill="1" applyBorder="1"/>
    <xf numFmtId="3" fontId="0" fillId="0" borderId="32" xfId="0" applyNumberFormat="1" applyBorder="1"/>
    <xf numFmtId="0" fontId="0" fillId="0" borderId="49" xfId="0" applyBorder="1"/>
    <xf numFmtId="0" fontId="0" fillId="0" borderId="51" xfId="0" applyBorder="1"/>
    <xf numFmtId="0" fontId="0" fillId="0" borderId="53" xfId="0" applyBorder="1"/>
    <xf numFmtId="2" fontId="0" fillId="0" borderId="49" xfId="0" applyNumberFormat="1" applyFill="1" applyBorder="1"/>
    <xf numFmtId="0" fontId="0" fillId="4" borderId="19" xfId="0" applyFill="1" applyBorder="1" applyAlignment="1">
      <alignment horizontal="center" wrapText="1"/>
    </xf>
    <xf numFmtId="0" fontId="0" fillId="0" borderId="54" xfId="0" applyBorder="1"/>
    <xf numFmtId="0" fontId="0" fillId="0" borderId="12" xfId="0" applyBorder="1"/>
    <xf numFmtId="0" fontId="0" fillId="0" borderId="50" xfId="0" applyBorder="1"/>
    <xf numFmtId="0" fontId="12" fillId="0" borderId="0" xfId="0" applyFont="1"/>
    <xf numFmtId="0" fontId="13" fillId="0" borderId="0" xfId="0" applyFont="1"/>
    <xf numFmtId="0" fontId="0" fillId="4" borderId="40" xfId="0" applyFill="1" applyBorder="1"/>
    <xf numFmtId="14" fontId="0" fillId="0" borderId="32" xfId="0" applyNumberFormat="1" applyBorder="1"/>
    <xf numFmtId="0" fontId="15" fillId="0" borderId="32" xfId="1" applyFont="1" applyFill="1" applyBorder="1" applyAlignment="1">
      <alignment horizontal="left" vertical="top" wrapText="1"/>
    </xf>
    <xf numFmtId="2" fontId="14" fillId="0" borderId="0" xfId="1" applyNumberFormat="1" applyFont="1" applyFill="1" applyBorder="1" applyAlignment="1">
      <alignment horizontal="center" vertical="top" wrapText="1"/>
    </xf>
    <xf numFmtId="0" fontId="15" fillId="0" borderId="0" xfId="1" applyFont="1" applyFill="1" applyBorder="1" applyAlignment="1">
      <alignment horizontal="left" vertical="top" wrapText="1"/>
    </xf>
    <xf numFmtId="0" fontId="0" fillId="0" borderId="38" xfId="0" applyFill="1" applyBorder="1"/>
    <xf numFmtId="0" fontId="0" fillId="4" borderId="32" xfId="0" applyFill="1" applyBorder="1"/>
    <xf numFmtId="0" fontId="0" fillId="0" borderId="13" xfId="0" applyBorder="1"/>
    <xf numFmtId="0" fontId="0" fillId="0" borderId="44" xfId="0" applyFill="1" applyBorder="1"/>
    <xf numFmtId="14" fontId="0" fillId="0" borderId="9" xfId="0" applyNumberFormat="1" applyFill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0" fontId="0" fillId="4" borderId="30" xfId="0" applyFill="1" applyBorder="1"/>
    <xf numFmtId="0" fontId="0" fillId="4" borderId="37" xfId="0" applyFill="1" applyBorder="1"/>
    <xf numFmtId="0" fontId="0" fillId="4" borderId="50" xfId="0" applyFill="1" applyBorder="1"/>
    <xf numFmtId="0" fontId="0" fillId="4" borderId="55" xfId="0" applyFill="1" applyBorder="1"/>
    <xf numFmtId="0" fontId="0" fillId="4" borderId="26" xfId="0" applyFill="1" applyBorder="1"/>
    <xf numFmtId="0" fontId="0" fillId="4" borderId="49" xfId="0" applyFill="1" applyBorder="1"/>
    <xf numFmtId="0" fontId="0" fillId="4" borderId="27" xfId="0" applyFill="1" applyBorder="1"/>
    <xf numFmtId="14" fontId="0" fillId="0" borderId="5" xfId="0" applyNumberFormat="1" applyFill="1" applyBorder="1"/>
    <xf numFmtId="14" fontId="0" fillId="0" borderId="41" xfId="0" applyNumberFormat="1" applyBorder="1"/>
    <xf numFmtId="14" fontId="0" fillId="0" borderId="30" xfId="0" applyNumberFormat="1" applyBorder="1"/>
    <xf numFmtId="14" fontId="0" fillId="0" borderId="58" xfId="0" applyNumberFormat="1" applyBorder="1"/>
    <xf numFmtId="14" fontId="0" fillId="0" borderId="13" xfId="0" applyNumberFormat="1" applyFill="1" applyBorder="1"/>
    <xf numFmtId="10" fontId="0" fillId="0" borderId="5" xfId="0" applyNumberFormat="1" applyFill="1" applyBorder="1"/>
    <xf numFmtId="0" fontId="0" fillId="0" borderId="7" xfId="0" applyFill="1" applyBorder="1"/>
    <xf numFmtId="4" fontId="0" fillId="0" borderId="5" xfId="0" applyNumberFormat="1" applyFill="1" applyBorder="1"/>
    <xf numFmtId="14" fontId="0" fillId="0" borderId="26" xfId="0" applyNumberFormat="1" applyFill="1" applyBorder="1"/>
    <xf numFmtId="2" fontId="0" fillId="0" borderId="32" xfId="0" applyNumberFormat="1" applyFill="1" applyBorder="1"/>
    <xf numFmtId="14" fontId="0" fillId="0" borderId="27" xfId="0" applyNumberFormat="1" applyFill="1" applyBorder="1"/>
    <xf numFmtId="14" fontId="0" fillId="0" borderId="30" xfId="0" applyNumberFormat="1" applyFill="1" applyBorder="1"/>
    <xf numFmtId="2" fontId="0" fillId="0" borderId="37" xfId="0" applyNumberFormat="1" applyFill="1" applyBorder="1"/>
    <xf numFmtId="2" fontId="0" fillId="0" borderId="50" xfId="0" applyNumberFormat="1" applyFill="1" applyBorder="1"/>
    <xf numFmtId="0" fontId="0" fillId="0" borderId="11" xfId="0" applyFill="1" applyBorder="1"/>
    <xf numFmtId="0" fontId="0" fillId="0" borderId="22" xfId="0" applyFill="1" applyBorder="1"/>
    <xf numFmtId="14" fontId="0" fillId="0" borderId="35" xfId="0" applyNumberFormat="1" applyFill="1" applyBorder="1"/>
    <xf numFmtId="2" fontId="0" fillId="0" borderId="36" xfId="0" applyNumberFormat="1" applyFill="1" applyBorder="1"/>
    <xf numFmtId="2" fontId="0" fillId="0" borderId="48" xfId="0" applyNumberFormat="1" applyFill="1" applyBorder="1"/>
    <xf numFmtId="14" fontId="0" fillId="0" borderId="25" xfId="0" applyNumberFormat="1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49" xfId="0" applyFill="1" applyBorder="1"/>
    <xf numFmtId="0" fontId="0" fillId="0" borderId="5" xfId="0" applyFill="1" applyBorder="1" applyAlignment="1"/>
    <xf numFmtId="14" fontId="0" fillId="0" borderId="16" xfId="0" applyNumberFormat="1" applyFill="1" applyBorder="1"/>
    <xf numFmtId="10" fontId="0" fillId="0" borderId="15" xfId="0" applyNumberFormat="1" applyFill="1" applyBorder="1"/>
    <xf numFmtId="0" fontId="0" fillId="0" borderId="16" xfId="0" applyFill="1" applyBorder="1"/>
    <xf numFmtId="4" fontId="0" fillId="0" borderId="7" xfId="0" applyNumberFormat="1" applyFill="1" applyBorder="1"/>
    <xf numFmtId="10" fontId="0" fillId="0" borderId="15" xfId="0" applyNumberFormat="1" applyFill="1" applyBorder="1" applyAlignment="1">
      <alignment wrapText="1"/>
    </xf>
    <xf numFmtId="0" fontId="0" fillId="0" borderId="6" xfId="0" applyFill="1" applyBorder="1"/>
    <xf numFmtId="0" fontId="0" fillId="0" borderId="39" xfId="0" applyFill="1" applyBorder="1"/>
    <xf numFmtId="14" fontId="0" fillId="0" borderId="10" xfId="0" applyNumberFormat="1" applyFill="1" applyBorder="1"/>
    <xf numFmtId="14" fontId="0" fillId="0" borderId="24" xfId="0" applyNumberFormat="1" applyFill="1" applyBorder="1"/>
    <xf numFmtId="0" fontId="0" fillId="0" borderId="8" xfId="0" applyFill="1" applyBorder="1"/>
    <xf numFmtId="14" fontId="0" fillId="0" borderId="28" xfId="0" applyNumberFormat="1" applyFill="1" applyBorder="1"/>
    <xf numFmtId="2" fontId="0" fillId="0" borderId="51" xfId="0" applyNumberFormat="1" applyFill="1" applyBorder="1"/>
    <xf numFmtId="14" fontId="0" fillId="0" borderId="29" xfId="0" applyNumberFormat="1" applyFill="1" applyBorder="1"/>
    <xf numFmtId="16" fontId="0" fillId="0" borderId="11" xfId="0" applyNumberFormat="1" applyFill="1" applyBorder="1"/>
    <xf numFmtId="14" fontId="0" fillId="0" borderId="11" xfId="0" applyNumberFormat="1" applyFill="1" applyBorder="1"/>
    <xf numFmtId="14" fontId="0" fillId="0" borderId="6" xfId="0" applyNumberFormat="1" applyFill="1" applyBorder="1"/>
    <xf numFmtId="10" fontId="0" fillId="0" borderId="6" xfId="0" applyNumberFormat="1" applyFill="1" applyBorder="1"/>
    <xf numFmtId="0" fontId="0" fillId="0" borderId="10" xfId="0" applyFill="1" applyBorder="1"/>
    <xf numFmtId="14" fontId="0" fillId="0" borderId="8" xfId="0" applyNumberFormat="1" applyFill="1" applyBorder="1"/>
    <xf numFmtId="0" fontId="0" fillId="0" borderId="24" xfId="0" applyFill="1" applyBorder="1"/>
    <xf numFmtId="0" fontId="0" fillId="0" borderId="33" xfId="0" applyFill="1" applyBorder="1"/>
    <xf numFmtId="0" fontId="0" fillId="0" borderId="52" xfId="0" applyFill="1" applyBorder="1"/>
    <xf numFmtId="0" fontId="0" fillId="0" borderId="25" xfId="0" applyFill="1" applyBorder="1"/>
    <xf numFmtId="0" fontId="0" fillId="0" borderId="34" xfId="0" applyFill="1" applyBorder="1"/>
    <xf numFmtId="10" fontId="0" fillId="0" borderId="5" xfId="2" applyNumberFormat="1" applyFont="1" applyFill="1" applyBorder="1"/>
    <xf numFmtId="4" fontId="0" fillId="0" borderId="9" xfId="0" applyNumberFormat="1" applyFill="1" applyBorder="1"/>
    <xf numFmtId="14" fontId="0" fillId="0" borderId="12" xfId="0" applyNumberFormat="1" applyFill="1" applyBorder="1"/>
    <xf numFmtId="14" fontId="0" fillId="0" borderId="15" xfId="0" applyNumberFormat="1" applyFill="1" applyBorder="1"/>
    <xf numFmtId="16" fontId="0" fillId="0" borderId="7" xfId="0" applyNumberFormat="1" applyFill="1" applyBorder="1"/>
    <xf numFmtId="14" fontId="0" fillId="0" borderId="22" xfId="0" applyNumberFormat="1" applyFill="1" applyBorder="1"/>
    <xf numFmtId="14" fontId="0" fillId="0" borderId="14" xfId="0" applyNumberFormat="1" applyFill="1" applyBorder="1"/>
    <xf numFmtId="16" fontId="0" fillId="0" borderId="5" xfId="0" applyNumberFormat="1" applyFill="1" applyBorder="1"/>
    <xf numFmtId="16" fontId="0" fillId="0" borderId="6" xfId="0" applyNumberFormat="1" applyFill="1" applyBorder="1"/>
    <xf numFmtId="4" fontId="0" fillId="0" borderId="39" xfId="0" applyNumberFormat="1" applyFill="1" applyBorder="1"/>
    <xf numFmtId="10" fontId="0" fillId="0" borderId="21" xfId="2" applyNumberFormat="1" applyFont="1" applyFill="1" applyBorder="1"/>
    <xf numFmtId="0" fontId="0" fillId="0" borderId="47" xfId="0" applyFill="1" applyBorder="1"/>
    <xf numFmtId="0" fontId="0" fillId="0" borderId="14" xfId="0" applyFill="1" applyBorder="1"/>
    <xf numFmtId="10" fontId="0" fillId="0" borderId="12" xfId="2" applyNumberFormat="1" applyFont="1" applyFill="1" applyBorder="1"/>
    <xf numFmtId="0" fontId="0" fillId="0" borderId="19" xfId="0" applyBorder="1"/>
    <xf numFmtId="14" fontId="0" fillId="0" borderId="23" xfId="0" applyNumberFormat="1" applyFill="1" applyBorder="1"/>
    <xf numFmtId="10" fontId="0" fillId="0" borderId="21" xfId="0" applyNumberFormat="1" applyFill="1" applyBorder="1"/>
    <xf numFmtId="0" fontId="0" fillId="0" borderId="40" xfId="0" applyFill="1" applyBorder="1"/>
    <xf numFmtId="10" fontId="0" fillId="0" borderId="15" xfId="2" applyNumberFormat="1" applyFont="1" applyFill="1" applyBorder="1"/>
    <xf numFmtId="10" fontId="0" fillId="0" borderId="40" xfId="0" applyNumberFormat="1" applyFill="1" applyBorder="1"/>
    <xf numFmtId="10" fontId="0" fillId="0" borderId="12" xfId="0" applyNumberFormat="1" applyFill="1" applyBorder="1"/>
    <xf numFmtId="16" fontId="0" fillId="0" borderId="14" xfId="0" applyNumberFormat="1" applyFill="1" applyBorder="1"/>
    <xf numFmtId="0" fontId="0" fillId="0" borderId="12" xfId="0" applyFill="1" applyBorder="1" applyAlignment="1"/>
    <xf numFmtId="0" fontId="0" fillId="0" borderId="45" xfId="0" applyFill="1" applyBorder="1"/>
    <xf numFmtId="0" fontId="16" fillId="0" borderId="32" xfId="1" applyFont="1" applyFill="1" applyBorder="1" applyAlignment="1">
      <alignment horizontal="left" vertical="top" wrapText="1"/>
    </xf>
    <xf numFmtId="1" fontId="17" fillId="0" borderId="32" xfId="1" applyNumberFormat="1" applyFont="1" applyFill="1" applyBorder="1" applyAlignment="1">
      <alignment horizontal="center" vertical="top" wrapText="1"/>
    </xf>
    <xf numFmtId="2" fontId="17" fillId="0" borderId="32" xfId="1" applyNumberFormat="1" applyFont="1" applyFill="1" applyBorder="1" applyAlignment="1">
      <alignment horizontal="center" vertical="top" wrapText="1"/>
    </xf>
    <xf numFmtId="2" fontId="18" fillId="0" borderId="32" xfId="0" applyNumberFormat="1" applyFont="1" applyBorder="1"/>
    <xf numFmtId="0" fontId="17" fillId="0" borderId="32" xfId="1" applyFont="1" applyFill="1" applyBorder="1" applyAlignment="1">
      <alignment horizontal="left" vertical="top" wrapText="1"/>
    </xf>
    <xf numFmtId="0" fontId="16" fillId="0" borderId="32" xfId="1" applyFont="1" applyFill="1" applyBorder="1" applyAlignment="1">
      <alignment horizontal="justify" vertical="top" wrapText="1"/>
    </xf>
    <xf numFmtId="0" fontId="17" fillId="0" borderId="32" xfId="1" applyFont="1" applyFill="1" applyBorder="1" applyAlignment="1">
      <alignment horizontal="justify" vertical="top" wrapText="1"/>
    </xf>
    <xf numFmtId="0" fontId="16" fillId="0" borderId="32" xfId="1" applyFont="1" applyFill="1" applyBorder="1" applyAlignment="1">
      <alignment horizontal="left"/>
    </xf>
    <xf numFmtId="1" fontId="17" fillId="0" borderId="32" xfId="1" applyNumberFormat="1" applyFont="1" applyFill="1" applyBorder="1" applyAlignment="1">
      <alignment horizontal="center"/>
    </xf>
    <xf numFmtId="2" fontId="16" fillId="0" borderId="32" xfId="1" applyNumberFormat="1" applyFont="1" applyFill="1" applyBorder="1" applyAlignment="1">
      <alignment horizontal="center"/>
    </xf>
    <xf numFmtId="0" fontId="16" fillId="0" borderId="32" xfId="1" applyFont="1" applyFill="1" applyBorder="1"/>
    <xf numFmtId="1" fontId="16" fillId="0" borderId="32" xfId="1" applyNumberFormat="1" applyFont="1" applyFill="1" applyBorder="1" applyAlignment="1">
      <alignment horizontal="center"/>
    </xf>
    <xf numFmtId="0" fontId="16" fillId="0" borderId="42" xfId="1" applyFont="1" applyFill="1" applyBorder="1" applyAlignment="1">
      <alignment horizontal="left" vertical="top" wrapText="1"/>
    </xf>
    <xf numFmtId="1" fontId="17" fillId="0" borderId="42" xfId="1" applyNumberFormat="1" applyFont="1" applyFill="1" applyBorder="1" applyAlignment="1">
      <alignment horizontal="center" vertical="top" wrapText="1"/>
    </xf>
    <xf numFmtId="2" fontId="17" fillId="0" borderId="42" xfId="1" applyNumberFormat="1" applyFont="1" applyFill="1" applyBorder="1" applyAlignment="1">
      <alignment horizontal="center" vertical="top" wrapText="1"/>
    </xf>
    <xf numFmtId="0" fontId="18" fillId="4" borderId="2" xfId="0" applyFont="1" applyFill="1" applyBorder="1" applyAlignment="1">
      <alignment horizontal="left" vertical="center" wrapText="1"/>
    </xf>
    <xf numFmtId="0" fontId="18" fillId="4" borderId="56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18" fillId="4" borderId="57" xfId="0" applyFont="1" applyFill="1" applyBorder="1" applyAlignment="1">
      <alignment horizontal="left" vertical="center" wrapText="1"/>
    </xf>
    <xf numFmtId="14" fontId="0" fillId="0" borderId="27" xfId="0" applyNumberFormat="1" applyBorder="1"/>
    <xf numFmtId="14" fontId="0" fillId="0" borderId="43" xfId="0" applyNumberFormat="1" applyBorder="1"/>
    <xf numFmtId="16" fontId="0" fillId="0" borderId="15" xfId="0" applyNumberFormat="1" applyFill="1" applyBorder="1"/>
    <xf numFmtId="0" fontId="0" fillId="0" borderId="7" xfId="0" applyBorder="1"/>
    <xf numFmtId="0" fontId="0" fillId="0" borderId="40" xfId="0" applyBorder="1"/>
    <xf numFmtId="4" fontId="5" fillId="0" borderId="40" xfId="0" applyNumberFormat="1" applyFont="1" applyBorder="1"/>
    <xf numFmtId="0" fontId="0" fillId="4" borderId="46" xfId="0" applyFill="1" applyBorder="1"/>
    <xf numFmtId="0" fontId="0" fillId="4" borderId="7" xfId="0" applyFill="1" applyBorder="1"/>
    <xf numFmtId="0" fontId="0" fillId="4" borderId="9" xfId="0" applyFill="1" applyBorder="1"/>
    <xf numFmtId="0" fontId="0" fillId="4" borderId="31" xfId="0" applyFill="1" applyBorder="1"/>
    <xf numFmtId="0" fontId="0" fillId="4" borderId="8" xfId="0" applyFill="1" applyBorder="1"/>
    <xf numFmtId="0" fontId="0" fillId="4" borderId="10" xfId="0" applyFill="1" applyBorder="1"/>
    <xf numFmtId="0" fontId="0" fillId="4" borderId="20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59" xfId="0" applyFill="1" applyBorder="1" applyAlignment="1">
      <alignment horizontal="center" vertical="center" wrapText="1"/>
    </xf>
    <xf numFmtId="14" fontId="0" fillId="0" borderId="5" xfId="0" applyNumberFormat="1" applyBorder="1"/>
    <xf numFmtId="14" fontId="0" fillId="0" borderId="25" xfId="0" applyNumberFormat="1" applyBorder="1"/>
    <xf numFmtId="14" fontId="0" fillId="0" borderId="55" xfId="0" applyNumberFormat="1" applyBorder="1"/>
    <xf numFmtId="0" fontId="18" fillId="4" borderId="19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2" fontId="0" fillId="4" borderId="32" xfId="0" applyNumberFormat="1" applyFill="1" applyBorder="1"/>
    <xf numFmtId="14" fontId="0" fillId="4" borderId="9" xfId="0" applyNumberFormat="1" applyFill="1" applyBorder="1"/>
    <xf numFmtId="10" fontId="0" fillId="4" borderId="5" xfId="0" applyNumberFormat="1" applyFill="1" applyBorder="1"/>
    <xf numFmtId="4" fontId="0" fillId="4" borderId="5" xfId="0" applyNumberFormat="1" applyFill="1" applyBorder="1"/>
    <xf numFmtId="14" fontId="0" fillId="4" borderId="7" xfId="0" applyNumberFormat="1" applyFill="1" applyBorder="1"/>
    <xf numFmtId="14" fontId="0" fillId="4" borderId="30" xfId="0" applyNumberFormat="1" applyFill="1" applyBorder="1"/>
    <xf numFmtId="2" fontId="0" fillId="4" borderId="37" xfId="0" applyNumberFormat="1" applyFill="1" applyBorder="1"/>
    <xf numFmtId="2" fontId="0" fillId="4" borderId="50" xfId="0" applyNumberFormat="1" applyFill="1" applyBorder="1"/>
    <xf numFmtId="14" fontId="0" fillId="4" borderId="27" xfId="0" applyNumberFormat="1" applyFill="1" applyBorder="1"/>
    <xf numFmtId="14" fontId="0" fillId="4" borderId="26" xfId="0" applyNumberFormat="1" applyFill="1" applyBorder="1"/>
    <xf numFmtId="2" fontId="0" fillId="4" borderId="49" xfId="0" applyNumberFormat="1" applyFill="1" applyBorder="1"/>
    <xf numFmtId="0" fontId="0" fillId="4" borderId="15" xfId="0" applyFill="1" applyBorder="1"/>
    <xf numFmtId="14" fontId="0" fillId="4" borderId="16" xfId="0" applyNumberFormat="1" applyFill="1" applyBorder="1"/>
    <xf numFmtId="10" fontId="0" fillId="4" borderId="15" xfId="0" applyNumberFormat="1" applyFill="1" applyBorder="1"/>
    <xf numFmtId="0" fontId="0" fillId="4" borderId="16" xfId="0" applyFill="1" applyBorder="1"/>
    <xf numFmtId="14" fontId="0" fillId="0" borderId="9" xfId="0" applyNumberFormat="1" applyBorder="1"/>
    <xf numFmtId="14" fontId="0" fillId="4" borderId="6" xfId="0" applyNumberFormat="1" applyFill="1" applyBorder="1"/>
    <xf numFmtId="10" fontId="0" fillId="4" borderId="6" xfId="0" applyNumberFormat="1" applyFill="1" applyBorder="1"/>
    <xf numFmtId="4" fontId="0" fillId="4" borderId="8" xfId="0" applyNumberFormat="1" applyFill="1" applyBorder="1"/>
    <xf numFmtId="14" fontId="0" fillId="4" borderId="8" xfId="0" applyNumberFormat="1" applyFill="1" applyBorder="1"/>
    <xf numFmtId="14" fontId="0" fillId="4" borderId="28" xfId="0" applyNumberFormat="1" applyFill="1" applyBorder="1"/>
    <xf numFmtId="2" fontId="0" fillId="4" borderId="34" xfId="0" applyNumberFormat="1" applyFill="1" applyBorder="1"/>
    <xf numFmtId="2" fontId="0" fillId="4" borderId="51" xfId="0" applyNumberFormat="1" applyFill="1" applyBorder="1"/>
    <xf numFmtId="14" fontId="0" fillId="4" borderId="29" xfId="0" applyNumberFormat="1" applyFill="1" applyBorder="1"/>
    <xf numFmtId="0" fontId="0" fillId="4" borderId="60" xfId="0" applyFill="1" applyBorder="1"/>
    <xf numFmtId="0" fontId="0" fillId="4" borderId="61" xfId="0" applyFill="1" applyBorder="1"/>
    <xf numFmtId="0" fontId="0" fillId="0" borderId="37" xfId="0" applyBorder="1"/>
    <xf numFmtId="0" fontId="0" fillId="4" borderId="11" xfId="0" applyFill="1" applyBorder="1"/>
    <xf numFmtId="0" fontId="0" fillId="3" borderId="59" xfId="0" applyFill="1" applyBorder="1"/>
    <xf numFmtId="0" fontId="0" fillId="3" borderId="14" xfId="0" applyFill="1" applyBorder="1"/>
    <xf numFmtId="4" fontId="0" fillId="0" borderId="6" xfId="0" applyNumberFormat="1" applyFill="1" applyBorder="1"/>
    <xf numFmtId="0" fontId="0" fillId="0" borderId="11" xfId="0" applyBorder="1"/>
    <xf numFmtId="4" fontId="0" fillId="0" borderId="21" xfId="0" applyNumberFormat="1" applyFill="1" applyBorder="1"/>
    <xf numFmtId="0" fontId="0" fillId="0" borderId="46" xfId="0" applyFill="1" applyBorder="1"/>
    <xf numFmtId="0" fontId="0" fillId="4" borderId="47" xfId="0" applyFill="1" applyBorder="1"/>
    <xf numFmtId="0" fontId="13" fillId="0" borderId="5" xfId="0" applyFont="1" applyBorder="1"/>
    <xf numFmtId="0" fontId="13" fillId="0" borderId="40" xfId="0" applyFont="1" applyBorder="1"/>
    <xf numFmtId="0" fontId="0" fillId="4" borderId="62" xfId="0" applyFill="1" applyBorder="1"/>
    <xf numFmtId="14" fontId="0" fillId="0" borderId="13" xfId="0" applyNumberFormat="1" applyBorder="1"/>
    <xf numFmtId="10" fontId="0" fillId="0" borderId="0" xfId="2" applyNumberFormat="1" applyFont="1"/>
    <xf numFmtId="4" fontId="0" fillId="4" borderId="7" xfId="0" applyNumberFormat="1" applyFill="1" applyBorder="1"/>
    <xf numFmtId="14" fontId="0" fillId="0" borderId="16" xfId="0" applyNumberFormat="1" applyBorder="1"/>
    <xf numFmtId="16" fontId="0" fillId="4" borderId="11" xfId="0" applyNumberFormat="1" applyFill="1" applyBorder="1"/>
    <xf numFmtId="14" fontId="0" fillId="4" borderId="5" xfId="0" applyNumberFormat="1" applyFill="1" applyBorder="1"/>
    <xf numFmtId="14" fontId="0" fillId="4" borderId="11" xfId="0" applyNumberFormat="1" applyFill="1" applyBorder="1"/>
    <xf numFmtId="0" fontId="0" fillId="4" borderId="1" xfId="0" applyFill="1" applyBorder="1" applyAlignment="1">
      <alignment horizontal="center" vertical="center"/>
    </xf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36" xfId="0" applyBorder="1"/>
    <xf numFmtId="0" fontId="0" fillId="0" borderId="62" xfId="0" applyBorder="1"/>
    <xf numFmtId="0" fontId="0" fillId="0" borderId="64" xfId="0" applyFill="1" applyBorder="1"/>
    <xf numFmtId="10" fontId="0" fillId="4" borderId="15" xfId="0" applyNumberFormat="1" applyFill="1" applyBorder="1" applyAlignment="1">
      <alignment wrapText="1"/>
    </xf>
    <xf numFmtId="16" fontId="0" fillId="4" borderId="7" xfId="0" applyNumberFormat="1" applyFill="1" applyBorder="1"/>
    <xf numFmtId="10" fontId="0" fillId="4" borderId="5" xfId="2" applyNumberFormat="1" applyFont="1" applyFill="1" applyBorder="1"/>
    <xf numFmtId="4" fontId="0" fillId="4" borderId="9" xfId="0" applyNumberFormat="1" applyFill="1" applyBorder="1"/>
    <xf numFmtId="0" fontId="0" fillId="4" borderId="0" xfId="0" applyFill="1" applyBorder="1"/>
    <xf numFmtId="0" fontId="0" fillId="0" borderId="13" xfId="0" applyFill="1" applyBorder="1"/>
    <xf numFmtId="0" fontId="13" fillId="0" borderId="9" xfId="0" applyFont="1" applyBorder="1"/>
    <xf numFmtId="0" fontId="0" fillId="0" borderId="31" xfId="0" applyBorder="1"/>
    <xf numFmtId="4" fontId="0" fillId="4" borderId="12" xfId="0" applyNumberFormat="1" applyFill="1" applyBorder="1"/>
    <xf numFmtId="0" fontId="13" fillId="0" borderId="13" xfId="0" applyFont="1" applyBorder="1"/>
    <xf numFmtId="0" fontId="0" fillId="4" borderId="0" xfId="0" applyFill="1"/>
    <xf numFmtId="0" fontId="0" fillId="4" borderId="13" xfId="0" applyFill="1" applyBorder="1"/>
    <xf numFmtId="14" fontId="0" fillId="0" borderId="7" xfId="0" applyNumberFormat="1" applyBorder="1"/>
    <xf numFmtId="0" fontId="18" fillId="5" borderId="32" xfId="0" applyFont="1" applyFill="1" applyBorder="1"/>
    <xf numFmtId="0" fontId="16" fillId="5" borderId="32" xfId="1" applyFont="1" applyFill="1" applyBorder="1" applyAlignment="1">
      <alignment horizontal="left" vertical="top" wrapText="1"/>
    </xf>
    <xf numFmtId="1" fontId="17" fillId="5" borderId="32" xfId="1" applyNumberFormat="1" applyFont="1" applyFill="1" applyBorder="1" applyAlignment="1">
      <alignment horizontal="center" vertical="top" wrapText="1"/>
    </xf>
    <xf numFmtId="2" fontId="17" fillId="5" borderId="32" xfId="1" applyNumberFormat="1" applyFont="1" applyFill="1" applyBorder="1" applyAlignment="1">
      <alignment horizontal="center" vertical="top" wrapText="1"/>
    </xf>
    <xf numFmtId="2" fontId="18" fillId="5" borderId="32" xfId="0" applyNumberFormat="1" applyFont="1" applyFill="1" applyBorder="1"/>
    <xf numFmtId="0" fontId="17" fillId="5" borderId="32" xfId="1" applyFont="1" applyFill="1" applyBorder="1" applyAlignment="1">
      <alignment horizontal="left" vertical="top" wrapText="1"/>
    </xf>
    <xf numFmtId="0" fontId="16" fillId="5" borderId="32" xfId="1" applyFont="1" applyFill="1" applyBorder="1" applyAlignment="1">
      <alignment horizontal="justify" vertical="top" wrapText="1"/>
    </xf>
    <xf numFmtId="1" fontId="16" fillId="5" borderId="32" xfId="1" applyNumberFormat="1" applyFont="1" applyFill="1" applyBorder="1" applyAlignment="1">
      <alignment horizontal="center" vertical="top" wrapText="1"/>
    </xf>
    <xf numFmtId="2" fontId="16" fillId="5" borderId="32" xfId="1" applyNumberFormat="1" applyFont="1" applyFill="1" applyBorder="1" applyAlignment="1">
      <alignment horizontal="center" vertical="top" wrapText="1"/>
    </xf>
    <xf numFmtId="0" fontId="13" fillId="0" borderId="12" xfId="0" applyFont="1" applyBorder="1"/>
    <xf numFmtId="0" fontId="0" fillId="4" borderId="44" xfId="0" applyFill="1" applyBorder="1"/>
    <xf numFmtId="0" fontId="0" fillId="0" borderId="44" xfId="0" applyBorder="1"/>
    <xf numFmtId="0" fontId="0" fillId="4" borderId="65" xfId="0" applyFill="1" applyBorder="1"/>
    <xf numFmtId="0" fontId="0" fillId="4" borderId="34" xfId="0" applyFill="1" applyBorder="1"/>
    <xf numFmtId="0" fontId="0" fillId="0" borderId="62" xfId="0" applyFill="1" applyBorder="1"/>
    <xf numFmtId="0" fontId="0" fillId="4" borderId="42" xfId="0" applyFill="1" applyBorder="1"/>
    <xf numFmtId="14" fontId="0" fillId="0" borderId="42" xfId="0" applyNumberFormat="1" applyBorder="1"/>
    <xf numFmtId="0" fontId="0" fillId="0" borderId="66" xfId="0" applyFill="1" applyBorder="1"/>
    <xf numFmtId="0" fontId="0" fillId="2" borderId="5" xfId="0" applyFill="1" applyBorder="1"/>
    <xf numFmtId="10" fontId="0" fillId="0" borderId="15" xfId="0" applyNumberFormat="1" applyFill="1" applyBorder="1" applyAlignment="1"/>
    <xf numFmtId="0" fontId="13" fillId="0" borderId="0" xfId="0" applyFont="1" applyBorder="1"/>
    <xf numFmtId="2" fontId="0" fillId="0" borderId="5" xfId="0" applyNumberFormat="1" applyFill="1" applyBorder="1"/>
    <xf numFmtId="0" fontId="0" fillId="6" borderId="5" xfId="0" applyFill="1" applyBorder="1"/>
    <xf numFmtId="0" fontId="0" fillId="6" borderId="9" xfId="0" applyFill="1" applyBorder="1"/>
    <xf numFmtId="0" fontId="0" fillId="6" borderId="7" xfId="0" applyFill="1" applyBorder="1"/>
    <xf numFmtId="10" fontId="0" fillId="6" borderId="15" xfId="0" applyNumberFormat="1" applyFill="1" applyBorder="1" applyAlignment="1"/>
    <xf numFmtId="0" fontId="0" fillId="6" borderId="16" xfId="0" applyFill="1" applyBorder="1"/>
    <xf numFmtId="10" fontId="0" fillId="0" borderId="67" xfId="2" applyNumberFormat="1" applyFont="1" applyFill="1" applyBorder="1"/>
    <xf numFmtId="14" fontId="0" fillId="0" borderId="0" xfId="0" applyNumberFormat="1"/>
    <xf numFmtId="16" fontId="0" fillId="4" borderId="5" xfId="0" applyNumberFormat="1" applyFill="1" applyBorder="1"/>
    <xf numFmtId="10" fontId="0" fillId="0" borderId="40" xfId="0" applyNumberFormat="1" applyFill="1" applyBorder="1" applyAlignment="1"/>
    <xf numFmtId="10" fontId="0" fillId="0" borderId="6" xfId="0" applyNumberFormat="1" applyFill="1" applyBorder="1" applyAlignment="1"/>
    <xf numFmtId="0" fontId="16" fillId="6" borderId="32" xfId="1" applyFont="1" applyFill="1" applyBorder="1" applyAlignment="1">
      <alignment horizontal="left" vertical="top" wrapText="1"/>
    </xf>
    <xf numFmtId="1" fontId="17" fillId="6" borderId="32" xfId="1" applyNumberFormat="1" applyFont="1" applyFill="1" applyBorder="1" applyAlignment="1">
      <alignment horizontal="center" vertical="top" wrapText="1"/>
    </xf>
    <xf numFmtId="2" fontId="17" fillId="6" borderId="32" xfId="1" applyNumberFormat="1" applyFont="1" applyFill="1" applyBorder="1" applyAlignment="1">
      <alignment horizontal="center" vertical="top" wrapText="1"/>
    </xf>
    <xf numFmtId="2" fontId="18" fillId="6" borderId="32" xfId="0" applyNumberFormat="1" applyFont="1" applyFill="1" applyBorder="1"/>
    <xf numFmtId="0" fontId="0" fillId="4" borderId="22" xfId="0" applyFill="1" applyBorder="1" applyAlignment="1">
      <alignment horizontal="center" vertical="center"/>
    </xf>
    <xf numFmtId="0" fontId="0" fillId="0" borderId="51" xfId="0" applyFill="1" applyBorder="1"/>
    <xf numFmtId="0" fontId="19" fillId="0" borderId="32" xfId="0" applyFont="1" applyBorder="1"/>
    <xf numFmtId="14" fontId="0" fillId="0" borderId="35" xfId="0" applyNumberFormat="1" applyBorder="1"/>
    <xf numFmtId="14" fontId="0" fillId="0" borderId="10" xfId="0" applyNumberFormat="1" applyBorder="1"/>
    <xf numFmtId="0" fontId="0" fillId="4" borderId="39" xfId="0" applyFill="1" applyBorder="1"/>
    <xf numFmtId="4" fontId="0" fillId="0" borderId="40" xfId="0" applyNumberFormat="1" applyFill="1" applyBorder="1"/>
    <xf numFmtId="0" fontId="0" fillId="0" borderId="60" xfId="0" applyBorder="1"/>
    <xf numFmtId="14" fontId="0" fillId="0" borderId="61" xfId="0" applyNumberFormat="1" applyBorder="1"/>
    <xf numFmtId="0" fontId="0" fillId="0" borderId="23" xfId="0" applyBorder="1"/>
    <xf numFmtId="0" fontId="0" fillId="4" borderId="24" xfId="0" applyFill="1" applyBorder="1"/>
    <xf numFmtId="0" fontId="0" fillId="4" borderId="33" xfId="0" applyFill="1" applyBorder="1"/>
    <xf numFmtId="0" fontId="0" fillId="4" borderId="52" xfId="0" applyFill="1" applyBorder="1"/>
    <xf numFmtId="0" fontId="0" fillId="4" borderId="25" xfId="0" applyFill="1" applyBorder="1"/>
    <xf numFmtId="0" fontId="20" fillId="0" borderId="54" xfId="0" applyFont="1" applyBorder="1"/>
    <xf numFmtId="0" fontId="0" fillId="0" borderId="37" xfId="0" applyFill="1" applyBorder="1"/>
    <xf numFmtId="0" fontId="18" fillId="4" borderId="1" xfId="0" applyFont="1" applyFill="1" applyBorder="1" applyAlignment="1">
      <alignment horizontal="center" vertical="center" wrapText="1"/>
    </xf>
    <xf numFmtId="2" fontId="0" fillId="0" borderId="62" xfId="0" applyNumberFormat="1" applyBorder="1"/>
    <xf numFmtId="2" fontId="0" fillId="0" borderId="42" xfId="0" applyNumberFormat="1" applyBorder="1"/>
    <xf numFmtId="0" fontId="16" fillId="5" borderId="33" xfId="1" applyFont="1" applyFill="1" applyBorder="1" applyAlignment="1">
      <alignment horizontal="left" vertical="top" wrapText="1"/>
    </xf>
    <xf numFmtId="1" fontId="17" fillId="5" borderId="33" xfId="1" applyNumberFormat="1" applyFont="1" applyFill="1" applyBorder="1" applyAlignment="1">
      <alignment horizontal="center" vertical="top" wrapText="1"/>
    </xf>
    <xf numFmtId="2" fontId="17" fillId="5" borderId="33" xfId="1" applyNumberFormat="1" applyFont="1" applyFill="1" applyBorder="1" applyAlignment="1">
      <alignment horizontal="center" vertical="top" wrapText="1"/>
    </xf>
    <xf numFmtId="0" fontId="18" fillId="5" borderId="33" xfId="0" applyFont="1" applyFill="1" applyBorder="1"/>
    <xf numFmtId="2" fontId="18" fillId="5" borderId="33" xfId="0" applyNumberFormat="1" applyFont="1" applyFill="1" applyBorder="1"/>
    <xf numFmtId="0" fontId="18" fillId="5" borderId="25" xfId="0" applyFont="1" applyFill="1" applyBorder="1"/>
    <xf numFmtId="0" fontId="18" fillId="5" borderId="27" xfId="0" applyFont="1" applyFill="1" applyBorder="1"/>
    <xf numFmtId="0" fontId="18" fillId="0" borderId="27" xfId="0" applyFont="1" applyBorder="1"/>
    <xf numFmtId="2" fontId="18" fillId="5" borderId="27" xfId="0" applyNumberFormat="1" applyFont="1" applyFill="1" applyBorder="1"/>
    <xf numFmtId="0" fontId="18" fillId="6" borderId="27" xfId="0" applyFont="1" applyFill="1" applyBorder="1"/>
    <xf numFmtId="0" fontId="16" fillId="0" borderId="34" xfId="1" applyFont="1" applyFill="1" applyBorder="1" applyAlignment="1">
      <alignment horizontal="left" vertical="top" wrapText="1"/>
    </xf>
    <xf numFmtId="0" fontId="18" fillId="0" borderId="34" xfId="0" applyFont="1" applyBorder="1"/>
    <xf numFmtId="2" fontId="18" fillId="0" borderId="34" xfId="0" applyNumberFormat="1" applyFont="1" applyBorder="1"/>
    <xf numFmtId="2" fontId="18" fillId="0" borderId="29" xfId="0" applyNumberFormat="1" applyFont="1" applyBorder="1"/>
    <xf numFmtId="0" fontId="0" fillId="4" borderId="38" xfId="0" applyFill="1" applyBorder="1"/>
    <xf numFmtId="14" fontId="0" fillId="4" borderId="23" xfId="0" applyNumberFormat="1" applyFill="1" applyBorder="1"/>
    <xf numFmtId="10" fontId="0" fillId="4" borderId="21" xfId="0" applyNumberFormat="1" applyFill="1" applyBorder="1"/>
    <xf numFmtId="0" fontId="0" fillId="4" borderId="23" xfId="0" applyFill="1" applyBorder="1"/>
    <xf numFmtId="0" fontId="0" fillId="4" borderId="22" xfId="0" applyFill="1" applyBorder="1"/>
    <xf numFmtId="4" fontId="0" fillId="4" borderId="22" xfId="0" applyNumberFormat="1" applyFill="1" applyBorder="1"/>
    <xf numFmtId="4" fontId="0" fillId="4" borderId="21" xfId="0" applyNumberFormat="1" applyFill="1" applyBorder="1"/>
    <xf numFmtId="14" fontId="0" fillId="4" borderId="22" xfId="0" applyNumberFormat="1" applyFill="1" applyBorder="1"/>
    <xf numFmtId="14" fontId="0" fillId="4" borderId="24" xfId="0" applyNumberFormat="1" applyFill="1" applyBorder="1"/>
    <xf numFmtId="2" fontId="0" fillId="4" borderId="33" xfId="0" applyNumberFormat="1" applyFill="1" applyBorder="1"/>
    <xf numFmtId="2" fontId="0" fillId="4" borderId="52" xfId="0" applyNumberFormat="1" applyFill="1" applyBorder="1"/>
    <xf numFmtId="14" fontId="0" fillId="4" borderId="25" xfId="0" applyNumberFormat="1" applyFill="1" applyBorder="1"/>
    <xf numFmtId="4" fontId="0" fillId="0" borderId="0" xfId="0" applyNumberFormat="1" applyBorder="1"/>
    <xf numFmtId="0" fontId="0" fillId="0" borderId="47" xfId="0" applyBorder="1"/>
    <xf numFmtId="0" fontId="0" fillId="0" borderId="39" xfId="0" applyBorder="1"/>
    <xf numFmtId="16" fontId="0" fillId="4" borderId="6" xfId="0" applyNumberFormat="1" applyFill="1" applyBorder="1"/>
    <xf numFmtId="10" fontId="0" fillId="4" borderId="67" xfId="2" applyNumberFormat="1" applyFont="1" applyFill="1" applyBorder="1"/>
    <xf numFmtId="4" fontId="0" fillId="4" borderId="6" xfId="0" applyNumberFormat="1" applyFill="1" applyBorder="1"/>
    <xf numFmtId="4" fontId="0" fillId="4" borderId="39" xfId="0" applyNumberFormat="1" applyFill="1" applyBorder="1"/>
    <xf numFmtId="14" fontId="0" fillId="0" borderId="40" xfId="0" applyNumberFormat="1" applyBorder="1"/>
    <xf numFmtId="4" fontId="0" fillId="0" borderId="5" xfId="0" applyNumberFormat="1" applyBorder="1"/>
    <xf numFmtId="0" fontId="3" fillId="0" borderId="16" xfId="0" applyFont="1" applyFill="1" applyBorder="1"/>
    <xf numFmtId="0" fontId="3" fillId="0" borderId="7" xfId="0" applyFont="1" applyFill="1" applyBorder="1"/>
    <xf numFmtId="0" fontId="3" fillId="0" borderId="5" xfId="0" applyFont="1" applyFill="1" applyBorder="1"/>
    <xf numFmtId="14" fontId="3" fillId="0" borderId="9" xfId="0" applyNumberFormat="1" applyFont="1" applyFill="1" applyBorder="1"/>
    <xf numFmtId="14" fontId="0" fillId="0" borderId="21" xfId="0" applyNumberFormat="1" applyFill="1" applyBorder="1"/>
    <xf numFmtId="14" fontId="0" fillId="0" borderId="12" xfId="0" applyNumberFormat="1" applyBorder="1"/>
    <xf numFmtId="14" fontId="0" fillId="0" borderId="23" xfId="0" applyNumberFormat="1" applyBorder="1"/>
    <xf numFmtId="0" fontId="0" fillId="0" borderId="50" xfId="0" applyFill="1" applyBorder="1"/>
    <xf numFmtId="4" fontId="3" fillId="0" borderId="21" xfId="0" applyNumberFormat="1" applyFont="1" applyBorder="1"/>
    <xf numFmtId="4" fontId="3" fillId="0" borderId="5" xfId="0" applyNumberFormat="1" applyFont="1" applyBorder="1"/>
    <xf numFmtId="4" fontId="0" fillId="0" borderId="21" xfId="0" applyNumberFormat="1" applyFont="1" applyFill="1" applyBorder="1"/>
    <xf numFmtId="4" fontId="0" fillId="0" borderId="5" xfId="0" applyNumberFormat="1" applyFont="1" applyFill="1" applyBorder="1"/>
    <xf numFmtId="4" fontId="0" fillId="0" borderId="5" xfId="0" applyNumberFormat="1" applyFont="1" applyBorder="1"/>
    <xf numFmtId="4" fontId="3" fillId="0" borderId="5" xfId="0" applyNumberFormat="1" applyFont="1" applyFill="1" applyBorder="1"/>
    <xf numFmtId="4" fontId="3" fillId="0" borderId="12" xfId="0" applyNumberFormat="1" applyFont="1" applyFill="1" applyBorder="1"/>
    <xf numFmtId="4" fontId="3" fillId="0" borderId="40" xfId="0" applyNumberFormat="1" applyFont="1" applyFill="1" applyBorder="1"/>
    <xf numFmtId="0" fontId="0" fillId="0" borderId="5" xfId="0" applyFont="1" applyFill="1" applyBorder="1"/>
    <xf numFmtId="0" fontId="0" fillId="0" borderId="40" xfId="0" applyFont="1" applyFill="1" applyBorder="1"/>
    <xf numFmtId="0" fontId="0" fillId="0" borderId="6" xfId="0" applyFont="1" applyFill="1" applyBorder="1"/>
    <xf numFmtId="4" fontId="3" fillId="0" borderId="12" xfId="0" applyNumberFormat="1" applyFont="1" applyBorder="1"/>
    <xf numFmtId="14" fontId="0" fillId="6" borderId="5" xfId="0" applyNumberFormat="1" applyFill="1" applyBorder="1"/>
    <xf numFmtId="0" fontId="0" fillId="6" borderId="22" xfId="0" applyFill="1" applyBorder="1"/>
    <xf numFmtId="0" fontId="0" fillId="6" borderId="13" xfId="0" applyFill="1" applyBorder="1"/>
    <xf numFmtId="2" fontId="0" fillId="6" borderId="5" xfId="0" applyNumberFormat="1" applyFill="1" applyBorder="1"/>
    <xf numFmtId="14" fontId="0" fillId="6" borderId="9" xfId="0" applyNumberFormat="1" applyFill="1" applyBorder="1"/>
    <xf numFmtId="0" fontId="3" fillId="0" borderId="32" xfId="0" applyFont="1" applyFill="1" applyBorder="1"/>
    <xf numFmtId="0" fontId="6" fillId="0" borderId="5" xfId="0" applyFont="1" applyBorder="1"/>
    <xf numFmtId="0" fontId="6" fillId="0" borderId="40" xfId="0" applyFont="1" applyBorder="1" applyAlignment="1">
      <alignment wrapText="1"/>
    </xf>
    <xf numFmtId="0" fontId="6" fillId="0" borderId="6" xfId="0" applyFont="1" applyBorder="1"/>
    <xf numFmtId="10" fontId="0" fillId="6" borderId="5" xfId="2" applyNumberFormat="1" applyFont="1" applyFill="1" applyBorder="1"/>
    <xf numFmtId="0" fontId="2" fillId="0" borderId="47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7" fillId="0" borderId="0" xfId="0" applyFont="1"/>
    <xf numFmtId="0" fontId="3" fillId="0" borderId="13" xfId="0" applyFont="1" applyFill="1" applyBorder="1"/>
    <xf numFmtId="0" fontId="0" fillId="6" borderId="0" xfId="0" applyFill="1" applyBorder="1"/>
    <xf numFmtId="0" fontId="0" fillId="6" borderId="40" xfId="0" applyFill="1" applyBorder="1"/>
    <xf numFmtId="14" fontId="0" fillId="6" borderId="13" xfId="0" applyNumberFormat="1" applyFill="1" applyBorder="1"/>
    <xf numFmtId="14" fontId="0" fillId="6" borderId="0" xfId="0" applyNumberFormat="1" applyFill="1" applyBorder="1"/>
    <xf numFmtId="14" fontId="0" fillId="6" borderId="12" xfId="0" applyNumberFormat="1" applyFill="1" applyBorder="1"/>
    <xf numFmtId="14" fontId="0" fillId="6" borderId="40" xfId="0" applyNumberFormat="1" applyFill="1" applyBorder="1"/>
    <xf numFmtId="14" fontId="0" fillId="6" borderId="6" xfId="0" applyNumberFormat="1" applyFill="1" applyBorder="1"/>
    <xf numFmtId="0" fontId="3" fillId="6" borderId="13" xfId="0" applyFont="1" applyFill="1" applyBorder="1"/>
    <xf numFmtId="14" fontId="3" fillId="6" borderId="7" xfId="0" applyNumberFormat="1" applyFont="1" applyFill="1" applyBorder="1"/>
    <xf numFmtId="0" fontId="0" fillId="6" borderId="44" xfId="0" applyFill="1" applyBorder="1"/>
    <xf numFmtId="0" fontId="0" fillId="6" borderId="47" xfId="0" applyFill="1" applyBorder="1"/>
    <xf numFmtId="0" fontId="0" fillId="6" borderId="31" xfId="0" applyFill="1" applyBorder="1"/>
    <xf numFmtId="0" fontId="0" fillId="6" borderId="12" xfId="0" applyFill="1" applyBorder="1"/>
    <xf numFmtId="0" fontId="6" fillId="6" borderId="5" xfId="0" applyFont="1" applyFill="1" applyBorder="1"/>
    <xf numFmtId="0" fontId="6" fillId="6" borderId="9" xfId="0" applyFont="1" applyFill="1" applyBorder="1"/>
    <xf numFmtId="0" fontId="6" fillId="6" borderId="12" xfId="0" applyFont="1" applyFill="1" applyBorder="1"/>
    <xf numFmtId="0" fontId="6" fillId="6" borderId="40" xfId="0" applyFont="1" applyFill="1" applyBorder="1"/>
    <xf numFmtId="0" fontId="1" fillId="6" borderId="5" xfId="0" applyFont="1" applyFill="1" applyBorder="1"/>
    <xf numFmtId="0" fontId="3" fillId="6" borderId="5" xfId="0" applyFont="1" applyFill="1" applyBorder="1"/>
    <xf numFmtId="14" fontId="0" fillId="6" borderId="7" xfId="0" applyNumberFormat="1" applyFill="1" applyBorder="1"/>
    <xf numFmtId="14" fontId="3" fillId="6" borderId="13" xfId="0" applyNumberFormat="1" applyFont="1" applyFill="1" applyBorder="1"/>
    <xf numFmtId="14" fontId="0" fillId="6" borderId="21" xfId="0" applyNumberFormat="1" applyFill="1" applyBorder="1"/>
    <xf numFmtId="0" fontId="0" fillId="6" borderId="38" xfId="0" applyFill="1" applyBorder="1"/>
    <xf numFmtId="4" fontId="5" fillId="6" borderId="5" xfId="0" applyNumberFormat="1" applyFont="1" applyFill="1" applyBorder="1"/>
    <xf numFmtId="0" fontId="3" fillId="6" borderId="44" xfId="0" applyFont="1" applyFill="1" applyBorder="1"/>
    <xf numFmtId="0" fontId="3" fillId="6" borderId="31" xfId="0" applyFont="1" applyFill="1" applyBorder="1"/>
    <xf numFmtId="14" fontId="3" fillId="0" borderId="5" xfId="0" applyNumberFormat="1" applyFont="1" applyFill="1" applyBorder="1"/>
    <xf numFmtId="0" fontId="3" fillId="0" borderId="31" xfId="0" applyFont="1" applyFill="1" applyBorder="1"/>
    <xf numFmtId="14" fontId="3" fillId="0" borderId="12" xfId="0" applyNumberFormat="1" applyFont="1" applyFill="1" applyBorder="1"/>
    <xf numFmtId="0" fontId="3" fillId="0" borderId="44" xfId="0" applyFont="1" applyFill="1" applyBorder="1"/>
    <xf numFmtId="14" fontId="3" fillId="0" borderId="40" xfId="0" applyNumberFormat="1" applyFont="1" applyFill="1" applyBorder="1"/>
    <xf numFmtId="0" fontId="3" fillId="0" borderId="47" xfId="0" applyFont="1" applyFill="1" applyBorder="1"/>
    <xf numFmtId="14" fontId="3" fillId="6" borderId="5" xfId="0" applyNumberFormat="1" applyFont="1" applyFill="1" applyBorder="1"/>
    <xf numFmtId="0" fontId="3" fillId="6" borderId="47" xfId="0" applyFont="1" applyFill="1" applyBorder="1"/>
    <xf numFmtId="0" fontId="0" fillId="2" borderId="13" xfId="0" applyFill="1" applyBorder="1"/>
    <xf numFmtId="14" fontId="0" fillId="2" borderId="13" xfId="0" applyNumberFormat="1" applyFill="1" applyBorder="1"/>
    <xf numFmtId="0" fontId="3" fillId="2" borderId="13" xfId="0" applyFont="1" applyFill="1" applyBorder="1"/>
    <xf numFmtId="0" fontId="3" fillId="2" borderId="5" xfId="0" applyFont="1" applyFill="1" applyBorder="1"/>
    <xf numFmtId="14" fontId="3" fillId="2" borderId="13" xfId="0" applyNumberFormat="1" applyFont="1" applyFill="1" applyBorder="1"/>
    <xf numFmtId="0" fontId="23" fillId="0" borderId="13" xfId="0" applyFont="1" applyFill="1" applyBorder="1" applyAlignment="1">
      <alignment horizontal="center"/>
    </xf>
    <xf numFmtId="0" fontId="25" fillId="6" borderId="13" xfId="0" applyFont="1" applyFill="1" applyBorder="1" applyAlignment="1">
      <alignment horizontal="center"/>
    </xf>
    <xf numFmtId="0" fontId="3" fillId="2" borderId="31" xfId="0" applyFont="1" applyFill="1" applyBorder="1"/>
    <xf numFmtId="0" fontId="3" fillId="2" borderId="44" xfId="0" applyFont="1" applyFill="1" applyBorder="1"/>
    <xf numFmtId="14" fontId="3" fillId="2" borderId="5" xfId="0" applyNumberFormat="1" applyFont="1" applyFill="1" applyBorder="1"/>
    <xf numFmtId="14" fontId="0" fillId="2" borderId="7" xfId="0" applyNumberFormat="1" applyFill="1" applyBorder="1"/>
    <xf numFmtId="0" fontId="2" fillId="0" borderId="1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4">
    <cellStyle name="Įprastas" xfId="0" builtinId="0"/>
    <cellStyle name="Įprastas 2" xfId="1" xr:uid="{00000000-0005-0000-0000-000000000000}"/>
    <cellStyle name="Kablelis 2" xfId="3" xr:uid="{00000000-0005-0000-0000-000001000000}"/>
    <cellStyle name="Procentai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7"/>
  <sheetViews>
    <sheetView tabSelected="1" zoomScale="85" zoomScaleNormal="85" workbookViewId="0">
      <pane xSplit="1" ySplit="2" topLeftCell="B131" activePane="bottomRight" state="frozen"/>
      <selection pane="topRight" activeCell="B1" sqref="B1"/>
      <selection pane="bottomLeft" activeCell="A3" sqref="A3"/>
      <selection pane="bottomRight" activeCell="E171" sqref="E171"/>
    </sheetView>
  </sheetViews>
  <sheetFormatPr defaultColWidth="9" defaultRowHeight="15" x14ac:dyDescent="0.25"/>
  <cols>
    <col min="1" max="1" width="4.42578125" style="2" customWidth="1"/>
    <col min="2" max="2" width="23.42578125" style="2" customWidth="1"/>
    <col min="3" max="3" width="8.140625" style="2" customWidth="1"/>
    <col min="4" max="4" width="9.140625" style="2" customWidth="1"/>
    <col min="5" max="5" width="10.42578125" style="2" customWidth="1"/>
    <col min="6" max="6" width="10.85546875" style="2" customWidth="1"/>
    <col min="7" max="7" width="10.5703125" style="2" customWidth="1"/>
    <col min="8" max="8" width="7.28515625" style="2" customWidth="1"/>
    <col min="9" max="9" width="23.28515625" style="2" customWidth="1"/>
    <col min="10" max="10" width="12.28515625" style="2" customWidth="1"/>
    <col min="11" max="11" width="12" style="2" customWidth="1"/>
    <col min="12" max="12" width="11.42578125" style="2" customWidth="1"/>
    <col min="13" max="13" width="11" style="2" customWidth="1"/>
    <col min="14" max="14" width="10" style="2" customWidth="1"/>
    <col min="15" max="15" width="9" style="2" customWidth="1"/>
    <col min="16" max="16" width="11" style="2" customWidth="1"/>
    <col min="17" max="17" width="9.42578125" style="2" customWidth="1"/>
    <col min="18" max="18" width="9" style="2" customWidth="1"/>
    <col min="19" max="19" width="11.85546875" style="2" customWidth="1"/>
    <col min="20" max="20" width="10.28515625" style="2" bestFit="1" customWidth="1"/>
    <col min="21" max="16384" width="9" style="2"/>
  </cols>
  <sheetData>
    <row r="1" spans="1:19" ht="16.5" hidden="1" thickBot="1" x14ac:dyDescent="0.3">
      <c r="A1" s="483" t="s">
        <v>231</v>
      </c>
      <c r="B1" s="483"/>
    </row>
    <row r="2" spans="1:19" ht="60.75" customHeight="1" thickBot="1" x14ac:dyDescent="0.3">
      <c r="A2" s="16" t="s">
        <v>0</v>
      </c>
      <c r="B2" s="17" t="s">
        <v>1</v>
      </c>
      <c r="C2" s="53" t="s">
        <v>94</v>
      </c>
      <c r="D2" s="53" t="s">
        <v>95</v>
      </c>
      <c r="E2" s="53" t="s">
        <v>102</v>
      </c>
      <c r="F2" s="53" t="s">
        <v>2</v>
      </c>
      <c r="G2" s="53" t="s">
        <v>69</v>
      </c>
      <c r="H2" s="53" t="s">
        <v>3</v>
      </c>
      <c r="I2" s="53" t="s">
        <v>73</v>
      </c>
      <c r="J2" s="53" t="s">
        <v>226</v>
      </c>
      <c r="K2" s="53" t="s">
        <v>225</v>
      </c>
      <c r="L2" s="53" t="s">
        <v>108</v>
      </c>
      <c r="M2" s="53" t="s">
        <v>243</v>
      </c>
      <c r="N2" s="366" t="s">
        <v>381</v>
      </c>
      <c r="O2" s="53" t="s">
        <v>109</v>
      </c>
      <c r="P2" s="53" t="s">
        <v>170</v>
      </c>
      <c r="Q2" s="53" t="s">
        <v>223</v>
      </c>
      <c r="R2" s="53" t="s">
        <v>247</v>
      </c>
      <c r="S2" s="53" t="s">
        <v>486</v>
      </c>
    </row>
    <row r="3" spans="1:19" x14ac:dyDescent="0.25">
      <c r="A3" s="350">
        <v>1</v>
      </c>
      <c r="B3" s="41" t="s">
        <v>25</v>
      </c>
      <c r="C3" s="41">
        <v>18</v>
      </c>
      <c r="D3" s="383">
        <v>2</v>
      </c>
      <c r="E3" s="41" t="s">
        <v>143</v>
      </c>
      <c r="F3" s="384">
        <v>41596</v>
      </c>
      <c r="G3" s="385">
        <f>11/18</f>
        <v>0.61111111111111116</v>
      </c>
      <c r="H3" s="386" t="s">
        <v>68</v>
      </c>
      <c r="I3" s="387" t="s">
        <v>174</v>
      </c>
      <c r="J3" s="388">
        <v>669730.91494399996</v>
      </c>
      <c r="K3" s="389">
        <f>J3/3.4528</f>
        <v>193967.47999999998</v>
      </c>
      <c r="L3" s="384">
        <v>42053</v>
      </c>
      <c r="M3" s="390">
        <v>42563</v>
      </c>
      <c r="N3" s="41" t="s">
        <v>68</v>
      </c>
      <c r="O3" s="387" t="s">
        <v>111</v>
      </c>
      <c r="P3" s="391">
        <v>41607</v>
      </c>
      <c r="Q3" s="392">
        <v>1748</v>
      </c>
      <c r="R3" s="393"/>
      <c r="S3" s="394">
        <v>41722</v>
      </c>
    </row>
    <row r="4" spans="1:19" x14ac:dyDescent="0.25">
      <c r="A4" s="22">
        <v>2</v>
      </c>
      <c r="B4" s="42" t="s">
        <v>26</v>
      </c>
      <c r="C4" s="42">
        <v>36</v>
      </c>
      <c r="D4" s="238">
        <v>1</v>
      </c>
      <c r="E4" s="42" t="s">
        <v>119</v>
      </c>
      <c r="F4" s="250">
        <v>41613</v>
      </c>
      <c r="G4" s="251">
        <f>24/36</f>
        <v>0.66666666666666663</v>
      </c>
      <c r="H4" s="237" t="s">
        <v>68</v>
      </c>
      <c r="I4" s="236" t="s">
        <v>78</v>
      </c>
      <c r="J4" s="289">
        <v>1266011.1200000001</v>
      </c>
      <c r="K4" s="252">
        <f>J4/3.4528</f>
        <v>366662.16404077853</v>
      </c>
      <c r="L4" s="250">
        <v>41726</v>
      </c>
      <c r="M4" s="253">
        <v>42318</v>
      </c>
      <c r="N4" s="42" t="s">
        <v>68</v>
      </c>
      <c r="O4" s="236" t="s">
        <v>111</v>
      </c>
      <c r="P4" s="254">
        <v>41607</v>
      </c>
      <c r="Q4" s="255">
        <v>1748</v>
      </c>
      <c r="R4" s="256"/>
      <c r="S4" s="257">
        <v>41722</v>
      </c>
    </row>
    <row r="5" spans="1:19" x14ac:dyDescent="0.25">
      <c r="A5" s="22">
        <v>3</v>
      </c>
      <c r="B5" s="42" t="s">
        <v>27</v>
      </c>
      <c r="C5" s="42">
        <v>72</v>
      </c>
      <c r="D5" s="238">
        <v>2</v>
      </c>
      <c r="E5" s="260" t="s">
        <v>101</v>
      </c>
      <c r="F5" s="250">
        <v>41611</v>
      </c>
      <c r="G5" s="251">
        <f>44/72</f>
        <v>0.61111111111111116</v>
      </c>
      <c r="H5" s="237" t="s">
        <v>68</v>
      </c>
      <c r="I5" s="236" t="s">
        <v>228</v>
      </c>
      <c r="J5" s="289">
        <v>1337000.01</v>
      </c>
      <c r="K5" s="252">
        <f>J5/3.4528</f>
        <v>387221.96767840593</v>
      </c>
      <c r="L5" s="250">
        <v>41773</v>
      </c>
      <c r="M5" s="253">
        <v>42321</v>
      </c>
      <c r="N5" s="42" t="s">
        <v>68</v>
      </c>
      <c r="O5" s="236" t="s">
        <v>167</v>
      </c>
      <c r="P5" s="258">
        <v>41827</v>
      </c>
      <c r="Q5" s="249">
        <v>1723.35</v>
      </c>
      <c r="R5" s="259"/>
      <c r="S5" s="257">
        <v>41851</v>
      </c>
    </row>
    <row r="6" spans="1:19" x14ac:dyDescent="0.25">
      <c r="A6" s="22">
        <v>4</v>
      </c>
      <c r="B6" s="73" t="s">
        <v>28</v>
      </c>
      <c r="C6" s="73">
        <v>22</v>
      </c>
      <c r="D6" s="89">
        <v>0</v>
      </c>
      <c r="E6" s="73" t="s">
        <v>154</v>
      </c>
      <c r="F6" s="128">
        <v>42611</v>
      </c>
      <c r="G6" s="143">
        <f>14/C6</f>
        <v>0.63636363636363635</v>
      </c>
      <c r="H6" s="74" t="s">
        <v>68</v>
      </c>
      <c r="I6" s="144" t="s">
        <v>228</v>
      </c>
      <c r="J6" s="165">
        <f>K6*3.4528</f>
        <v>927746.1943359999</v>
      </c>
      <c r="K6" s="145">
        <v>268693.87</v>
      </c>
      <c r="L6" s="128">
        <v>42718</v>
      </c>
      <c r="M6" s="75">
        <v>43063</v>
      </c>
      <c r="N6" s="73" t="s">
        <v>68</v>
      </c>
      <c r="O6" s="144" t="s">
        <v>111</v>
      </c>
      <c r="P6" s="149">
        <v>41607</v>
      </c>
      <c r="Q6" s="150">
        <v>1748</v>
      </c>
      <c r="R6" s="151"/>
      <c r="S6" s="148">
        <v>41722</v>
      </c>
    </row>
    <row r="7" spans="1:19" x14ac:dyDescent="0.25">
      <c r="A7" s="22">
        <v>5</v>
      </c>
      <c r="B7" s="73" t="s">
        <v>390</v>
      </c>
      <c r="C7" s="73">
        <v>20</v>
      </c>
      <c r="D7" s="89">
        <v>0</v>
      </c>
      <c r="E7" s="73" t="s">
        <v>150</v>
      </c>
      <c r="F7" s="128">
        <v>41617</v>
      </c>
      <c r="G7" s="143">
        <f>12/20</f>
        <v>0.6</v>
      </c>
      <c r="H7" s="74" t="s">
        <v>68</v>
      </c>
      <c r="I7" s="144" t="s">
        <v>241</v>
      </c>
      <c r="J7" s="165">
        <f>K7*3.4528</f>
        <v>990548.82825600007</v>
      </c>
      <c r="K7" s="145">
        <v>286882.77</v>
      </c>
      <c r="L7" s="74">
        <v>2015</v>
      </c>
      <c r="M7" s="75">
        <v>42663</v>
      </c>
      <c r="N7" s="73" t="s">
        <v>68</v>
      </c>
      <c r="O7" s="144" t="s">
        <v>111</v>
      </c>
      <c r="P7" s="149">
        <v>41607</v>
      </c>
      <c r="Q7" s="150">
        <v>1748</v>
      </c>
      <c r="R7" s="151"/>
      <c r="S7" s="148">
        <v>41722</v>
      </c>
    </row>
    <row r="8" spans="1:19" x14ac:dyDescent="0.25">
      <c r="A8" s="22">
        <v>6</v>
      </c>
      <c r="B8" s="42" t="s">
        <v>29</v>
      </c>
      <c r="C8" s="42">
        <v>72</v>
      </c>
      <c r="D8" s="238">
        <v>6</v>
      </c>
      <c r="E8" s="42" t="s">
        <v>135</v>
      </c>
      <c r="F8" s="250">
        <v>41598</v>
      </c>
      <c r="G8" s="251">
        <f>40/72</f>
        <v>0.55555555555555558</v>
      </c>
      <c r="H8" s="237" t="s">
        <v>68</v>
      </c>
      <c r="I8" s="236" t="s">
        <v>78</v>
      </c>
      <c r="J8" s="252">
        <v>1108711.4099999999</v>
      </c>
      <c r="K8" s="252">
        <f>J8/3.4528</f>
        <v>321105.01911492122</v>
      </c>
      <c r="L8" s="250">
        <v>41711</v>
      </c>
      <c r="M8" s="253">
        <v>42166</v>
      </c>
      <c r="N8" s="292" t="s">
        <v>68</v>
      </c>
      <c r="O8" s="236" t="s">
        <v>111</v>
      </c>
      <c r="P8" s="254">
        <v>41607</v>
      </c>
      <c r="Q8" s="255">
        <f>1748-21.88</f>
        <v>1726.12</v>
      </c>
      <c r="R8" s="256"/>
      <c r="S8" s="257">
        <v>41722</v>
      </c>
    </row>
    <row r="9" spans="1:19" x14ac:dyDescent="0.25">
      <c r="A9" s="22">
        <v>7</v>
      </c>
      <c r="B9" s="73" t="s">
        <v>30</v>
      </c>
      <c r="C9" s="73">
        <v>65</v>
      </c>
      <c r="D9" s="89">
        <v>1</v>
      </c>
      <c r="E9" s="73" t="s">
        <v>140</v>
      </c>
      <c r="F9" s="128">
        <v>41597</v>
      </c>
      <c r="G9" s="143">
        <f>37/65</f>
        <v>0.56923076923076921</v>
      </c>
      <c r="H9" s="337" t="s">
        <v>68</v>
      </c>
      <c r="I9" s="338" t="s">
        <v>224</v>
      </c>
      <c r="J9" s="338"/>
      <c r="K9" s="427">
        <v>334154.81</v>
      </c>
      <c r="L9" s="428">
        <v>43108</v>
      </c>
      <c r="M9" s="457">
        <v>43675</v>
      </c>
      <c r="N9" s="336" t="s">
        <v>68</v>
      </c>
      <c r="O9" s="144" t="s">
        <v>167</v>
      </c>
      <c r="P9" s="146">
        <v>41877</v>
      </c>
      <c r="Q9" s="147">
        <v>1726.12</v>
      </c>
      <c r="R9" s="112"/>
      <c r="S9" s="148">
        <v>41914</v>
      </c>
    </row>
    <row r="10" spans="1:19" x14ac:dyDescent="0.25">
      <c r="A10" s="22">
        <v>8</v>
      </c>
      <c r="B10" s="73" t="s">
        <v>31</v>
      </c>
      <c r="C10" s="73">
        <v>44</v>
      </c>
      <c r="D10" s="89">
        <v>2</v>
      </c>
      <c r="E10" s="73" t="s">
        <v>118</v>
      </c>
      <c r="F10" s="128">
        <v>41592</v>
      </c>
      <c r="G10" s="143">
        <f>29/44</f>
        <v>0.65909090909090906</v>
      </c>
      <c r="H10" s="74" t="s">
        <v>68</v>
      </c>
      <c r="I10" s="144" t="s">
        <v>485</v>
      </c>
      <c r="J10" s="165">
        <v>1456837.58</v>
      </c>
      <c r="K10" s="145">
        <f>J10/3.4528</f>
        <v>421929.32692307694</v>
      </c>
      <c r="L10" s="128">
        <v>41691</v>
      </c>
      <c r="M10" s="75">
        <v>42710</v>
      </c>
      <c r="N10" s="73" t="s">
        <v>68</v>
      </c>
      <c r="O10" s="144" t="s">
        <v>111</v>
      </c>
      <c r="P10" s="149">
        <v>41607</v>
      </c>
      <c r="Q10" s="150">
        <v>1748</v>
      </c>
      <c r="R10" s="151"/>
      <c r="S10" s="148">
        <v>41722</v>
      </c>
    </row>
    <row r="11" spans="1:19" x14ac:dyDescent="0.25">
      <c r="A11" s="22">
        <v>9</v>
      </c>
      <c r="B11" s="73" t="s">
        <v>32</v>
      </c>
      <c r="C11" s="73">
        <v>38</v>
      </c>
      <c r="D11" s="89">
        <v>18</v>
      </c>
      <c r="E11" s="73" t="s">
        <v>145</v>
      </c>
      <c r="F11" s="128">
        <v>42436</v>
      </c>
      <c r="G11" s="143">
        <f>24/38</f>
        <v>0.63157894736842102</v>
      </c>
      <c r="H11" s="28" t="s">
        <v>75</v>
      </c>
      <c r="I11" s="15"/>
      <c r="J11" s="15"/>
      <c r="K11" s="63"/>
      <c r="L11" s="28"/>
      <c r="M11" s="15"/>
      <c r="N11" s="63"/>
      <c r="O11" s="144" t="s">
        <v>167</v>
      </c>
      <c r="P11" s="146">
        <v>41877</v>
      </c>
      <c r="Q11" s="147">
        <v>1716.42</v>
      </c>
      <c r="R11" s="112"/>
      <c r="S11" s="148">
        <v>41914</v>
      </c>
    </row>
    <row r="12" spans="1:19" ht="15" customHeight="1" x14ac:dyDescent="0.25">
      <c r="A12" s="22">
        <v>10</v>
      </c>
      <c r="B12" s="73" t="s">
        <v>37</v>
      </c>
      <c r="C12" s="73">
        <v>65</v>
      </c>
      <c r="D12" s="89">
        <v>2</v>
      </c>
      <c r="E12" s="73" t="s">
        <v>129</v>
      </c>
      <c r="F12" s="128">
        <v>42585</v>
      </c>
      <c r="G12" s="333">
        <f>41/C12</f>
        <v>0.63076923076923075</v>
      </c>
      <c r="H12" s="74" t="s">
        <v>68</v>
      </c>
      <c r="I12" s="144" t="s">
        <v>78</v>
      </c>
      <c r="J12" s="165">
        <f>K12*3.4528</f>
        <v>1094483.8399039998</v>
      </c>
      <c r="K12" s="145">
        <v>316984.43</v>
      </c>
      <c r="L12" s="128">
        <v>42692</v>
      </c>
      <c r="M12" s="75">
        <v>43098</v>
      </c>
      <c r="N12" s="73" t="s">
        <v>68</v>
      </c>
      <c r="O12" s="144" t="s">
        <v>167</v>
      </c>
      <c r="P12" s="146">
        <v>42678</v>
      </c>
      <c r="Q12" s="147">
        <f>R12*3.4528</f>
        <v>1723.327008</v>
      </c>
      <c r="R12" s="112">
        <v>499.11</v>
      </c>
      <c r="S12" s="148">
        <v>42725</v>
      </c>
    </row>
    <row r="13" spans="1:19" x14ac:dyDescent="0.25">
      <c r="A13" s="22">
        <v>11</v>
      </c>
      <c r="B13" s="42" t="s">
        <v>35</v>
      </c>
      <c r="C13" s="42">
        <v>40</v>
      </c>
      <c r="D13" s="238">
        <v>1</v>
      </c>
      <c r="E13" s="44" t="s">
        <v>100</v>
      </c>
      <c r="F13" s="250">
        <v>41604</v>
      </c>
      <c r="G13" s="251">
        <f>23/40</f>
        <v>0.57499999999999996</v>
      </c>
      <c r="H13" s="237" t="s">
        <v>68</v>
      </c>
      <c r="I13" s="236" t="s">
        <v>97</v>
      </c>
      <c r="J13" s="252">
        <v>977725.98</v>
      </c>
      <c r="K13" s="252">
        <f t="shared" ref="K13:K19" si="0">J13/3.4528</f>
        <v>283169.01645041705</v>
      </c>
      <c r="L13" s="250">
        <v>41724</v>
      </c>
      <c r="M13" s="253">
        <v>42173</v>
      </c>
      <c r="N13" s="292" t="s">
        <v>68</v>
      </c>
      <c r="O13" s="236" t="s">
        <v>167</v>
      </c>
      <c r="P13" s="258">
        <v>41795</v>
      </c>
      <c r="Q13" s="249">
        <v>1723.35</v>
      </c>
      <c r="R13" s="259"/>
      <c r="S13" s="257">
        <v>41837</v>
      </c>
    </row>
    <row r="14" spans="1:19" x14ac:dyDescent="0.25">
      <c r="A14" s="22">
        <v>12</v>
      </c>
      <c r="B14" s="73" t="s">
        <v>36</v>
      </c>
      <c r="C14" s="73">
        <v>30</v>
      </c>
      <c r="D14" s="89">
        <v>1</v>
      </c>
      <c r="E14" s="73" t="s">
        <v>152</v>
      </c>
      <c r="F14" s="128">
        <v>41603</v>
      </c>
      <c r="G14" s="143">
        <f>21/30</f>
        <v>0.7</v>
      </c>
      <c r="H14" s="74" t="s">
        <v>68</v>
      </c>
      <c r="I14" s="73" t="s">
        <v>494</v>
      </c>
      <c r="J14" s="165">
        <v>1025384.25</v>
      </c>
      <c r="K14" s="145">
        <f t="shared" si="0"/>
        <v>296971.80549119558</v>
      </c>
      <c r="L14" s="128">
        <v>41739</v>
      </c>
      <c r="M14" s="75">
        <v>42706</v>
      </c>
      <c r="N14" s="73" t="s">
        <v>68</v>
      </c>
      <c r="O14" s="144" t="s">
        <v>111</v>
      </c>
      <c r="P14" s="149">
        <v>41607</v>
      </c>
      <c r="Q14" s="150">
        <v>1748</v>
      </c>
      <c r="R14" s="151"/>
      <c r="S14" s="148">
        <v>41722</v>
      </c>
    </row>
    <row r="15" spans="1:19" x14ac:dyDescent="0.25">
      <c r="A15" s="22">
        <v>13</v>
      </c>
      <c r="B15" s="42" t="s">
        <v>38</v>
      </c>
      <c r="C15" s="42">
        <v>100</v>
      </c>
      <c r="D15" s="238">
        <v>9</v>
      </c>
      <c r="E15" s="42" t="s">
        <v>123</v>
      </c>
      <c r="F15" s="250">
        <v>41592</v>
      </c>
      <c r="G15" s="251">
        <f>58/100</f>
        <v>0.57999999999999996</v>
      </c>
      <c r="H15" s="237" t="s">
        <v>68</v>
      </c>
      <c r="I15" s="236" t="s">
        <v>228</v>
      </c>
      <c r="J15" s="289">
        <v>1277700.8799999999</v>
      </c>
      <c r="K15" s="252">
        <f t="shared" si="0"/>
        <v>370047.75254865614</v>
      </c>
      <c r="L15" s="250">
        <v>41694</v>
      </c>
      <c r="M15" s="253">
        <v>42347</v>
      </c>
      <c r="N15" s="42" t="s">
        <v>68</v>
      </c>
      <c r="O15" s="236" t="s">
        <v>111</v>
      </c>
      <c r="P15" s="254">
        <v>41607</v>
      </c>
      <c r="Q15" s="255">
        <v>1748</v>
      </c>
      <c r="R15" s="256"/>
      <c r="S15" s="257">
        <v>41722</v>
      </c>
    </row>
    <row r="16" spans="1:19" x14ac:dyDescent="0.25">
      <c r="A16" s="22">
        <v>14</v>
      </c>
      <c r="B16" s="42" t="s">
        <v>34</v>
      </c>
      <c r="C16" s="42">
        <v>30</v>
      </c>
      <c r="D16" s="238">
        <v>1</v>
      </c>
      <c r="E16" s="42" t="s">
        <v>107</v>
      </c>
      <c r="F16" s="250">
        <v>41605</v>
      </c>
      <c r="G16" s="251">
        <f>18/29</f>
        <v>0.62068965517241381</v>
      </c>
      <c r="H16" s="237" t="s">
        <v>68</v>
      </c>
      <c r="I16" s="236" t="s">
        <v>78</v>
      </c>
      <c r="J16" s="289">
        <v>774111.15</v>
      </c>
      <c r="K16" s="309">
        <f t="shared" si="0"/>
        <v>224198.0856116775</v>
      </c>
      <c r="L16" s="250">
        <v>41726</v>
      </c>
      <c r="M16" s="253">
        <v>42324</v>
      </c>
      <c r="N16" s="42" t="s">
        <v>68</v>
      </c>
      <c r="O16" s="236" t="s">
        <v>167</v>
      </c>
      <c r="P16" s="258">
        <v>41808</v>
      </c>
      <c r="Q16" s="249">
        <v>1723.35</v>
      </c>
      <c r="R16" s="259"/>
      <c r="S16" s="257">
        <v>41919</v>
      </c>
    </row>
    <row r="17" spans="1:19" x14ac:dyDescent="0.25">
      <c r="A17" s="22">
        <v>15</v>
      </c>
      <c r="B17" s="42" t="s">
        <v>40</v>
      </c>
      <c r="C17" s="42">
        <v>22</v>
      </c>
      <c r="D17" s="238">
        <v>22</v>
      </c>
      <c r="E17" s="42" t="s">
        <v>144</v>
      </c>
      <c r="F17" s="250">
        <v>41617</v>
      </c>
      <c r="G17" s="251">
        <f>22/22</f>
        <v>1</v>
      </c>
      <c r="H17" s="237" t="s">
        <v>68</v>
      </c>
      <c r="I17" s="236" t="s">
        <v>98</v>
      </c>
      <c r="J17" s="289">
        <v>786639.44</v>
      </c>
      <c r="K17" s="252">
        <f t="shared" si="0"/>
        <v>227826.52919369785</v>
      </c>
      <c r="L17" s="250">
        <v>41774</v>
      </c>
      <c r="M17" s="253">
        <v>42356</v>
      </c>
      <c r="N17" s="42" t="s">
        <v>68</v>
      </c>
      <c r="O17" s="236" t="s">
        <v>167</v>
      </c>
      <c r="P17" s="258">
        <v>41843</v>
      </c>
      <c r="Q17" s="249">
        <v>1716.42</v>
      </c>
      <c r="R17" s="259"/>
      <c r="S17" s="257">
        <v>41914</v>
      </c>
    </row>
    <row r="18" spans="1:19" x14ac:dyDescent="0.25">
      <c r="A18" s="22">
        <v>16</v>
      </c>
      <c r="B18" s="42" t="s">
        <v>41</v>
      </c>
      <c r="C18" s="42">
        <v>44</v>
      </c>
      <c r="D18" s="238">
        <v>1</v>
      </c>
      <c r="E18" s="42" t="s">
        <v>139</v>
      </c>
      <c r="F18" s="250">
        <v>41592</v>
      </c>
      <c r="G18" s="251">
        <f>27/44</f>
        <v>0.61363636363636365</v>
      </c>
      <c r="H18" s="237" t="s">
        <v>68</v>
      </c>
      <c r="I18" s="236" t="s">
        <v>228</v>
      </c>
      <c r="J18" s="252">
        <v>1206124.22</v>
      </c>
      <c r="K18" s="252">
        <f t="shared" si="0"/>
        <v>349317.71895273402</v>
      </c>
      <c r="L18" s="250">
        <v>41694</v>
      </c>
      <c r="M18" s="253">
        <v>42135</v>
      </c>
      <c r="N18" s="292" t="s">
        <v>68</v>
      </c>
      <c r="O18" s="236" t="s">
        <v>111</v>
      </c>
      <c r="P18" s="254">
        <v>41607</v>
      </c>
      <c r="Q18" s="255">
        <f>1748-21.88</f>
        <v>1726.12</v>
      </c>
      <c r="R18" s="256"/>
      <c r="S18" s="257">
        <v>41722</v>
      </c>
    </row>
    <row r="19" spans="1:19" x14ac:dyDescent="0.25">
      <c r="A19" s="22">
        <v>17</v>
      </c>
      <c r="B19" s="42" t="s">
        <v>42</v>
      </c>
      <c r="C19" s="42">
        <v>25</v>
      </c>
      <c r="D19" s="238">
        <v>1</v>
      </c>
      <c r="E19" s="42" t="s">
        <v>131</v>
      </c>
      <c r="F19" s="250">
        <v>41598</v>
      </c>
      <c r="G19" s="251">
        <f>16/25</f>
        <v>0.64</v>
      </c>
      <c r="H19" s="237" t="s">
        <v>68</v>
      </c>
      <c r="I19" s="42" t="s">
        <v>227</v>
      </c>
      <c r="J19" s="289">
        <v>747113.05</v>
      </c>
      <c r="K19" s="252">
        <f t="shared" si="0"/>
        <v>216378.89538924932</v>
      </c>
      <c r="L19" s="250">
        <v>41753</v>
      </c>
      <c r="M19" s="253">
        <v>42668</v>
      </c>
      <c r="N19" s="292" t="s">
        <v>68</v>
      </c>
      <c r="O19" s="236" t="s">
        <v>77</v>
      </c>
      <c r="P19" s="135"/>
      <c r="Q19" s="125"/>
      <c r="R19" s="136"/>
      <c r="S19" s="137"/>
    </row>
    <row r="20" spans="1:19" x14ac:dyDescent="0.25">
      <c r="A20" s="22">
        <v>18</v>
      </c>
      <c r="B20" s="73" t="s">
        <v>43</v>
      </c>
      <c r="C20" s="73">
        <v>60</v>
      </c>
      <c r="D20" s="89">
        <v>3</v>
      </c>
      <c r="E20" s="73" t="s">
        <v>112</v>
      </c>
      <c r="F20" s="128">
        <v>42534</v>
      </c>
      <c r="G20" s="143">
        <f>41/60</f>
        <v>0.68333333333333335</v>
      </c>
      <c r="H20" s="74" t="s">
        <v>68</v>
      </c>
      <c r="I20" s="73" t="s">
        <v>493</v>
      </c>
      <c r="J20" s="165">
        <f>K20*3.4528</f>
        <v>1083582.3489920001</v>
      </c>
      <c r="K20" s="145">
        <v>313827.14</v>
      </c>
      <c r="L20" s="128">
        <v>42692</v>
      </c>
      <c r="M20" s="75">
        <v>43234</v>
      </c>
      <c r="N20" s="73" t="s">
        <v>68</v>
      </c>
      <c r="O20" s="144" t="s">
        <v>167</v>
      </c>
      <c r="P20" s="146">
        <v>41808</v>
      </c>
      <c r="Q20" s="85">
        <v>1723.35</v>
      </c>
      <c r="R20" s="160"/>
      <c r="S20" s="148">
        <v>41919</v>
      </c>
    </row>
    <row r="21" spans="1:19" x14ac:dyDescent="0.25">
      <c r="A21" s="22">
        <v>19</v>
      </c>
      <c r="B21" s="77" t="s">
        <v>45</v>
      </c>
      <c r="C21" s="73">
        <v>53</v>
      </c>
      <c r="D21" s="89">
        <v>1</v>
      </c>
      <c r="E21" s="73" t="s">
        <v>133</v>
      </c>
      <c r="F21" s="162">
        <v>42612</v>
      </c>
      <c r="G21" s="339">
        <f>36/C21</f>
        <v>0.67924528301886788</v>
      </c>
      <c r="H21" s="164" t="s">
        <v>68</v>
      </c>
      <c r="I21" s="338" t="s">
        <v>576</v>
      </c>
      <c r="J21" s="338"/>
      <c r="K21" s="336">
        <v>339610.81</v>
      </c>
      <c r="L21" s="428">
        <v>43830</v>
      </c>
      <c r="M21" s="482">
        <v>44217</v>
      </c>
      <c r="N21" s="336"/>
      <c r="O21" s="144" t="s">
        <v>77</v>
      </c>
      <c r="P21" s="146">
        <v>42678</v>
      </c>
      <c r="Q21" s="85"/>
      <c r="R21" s="160">
        <v>499.11</v>
      </c>
      <c r="S21" s="148">
        <v>42793</v>
      </c>
    </row>
    <row r="22" spans="1:19" x14ac:dyDescent="0.25">
      <c r="A22" s="22">
        <v>20</v>
      </c>
      <c r="B22" s="77" t="s">
        <v>46</v>
      </c>
      <c r="C22" s="73">
        <v>40</v>
      </c>
      <c r="D22" s="89">
        <v>0</v>
      </c>
      <c r="E22" s="73" t="s">
        <v>114</v>
      </c>
      <c r="F22" s="162">
        <v>41603</v>
      </c>
      <c r="G22" s="163">
        <f>24/40</f>
        <v>0.6</v>
      </c>
      <c r="H22" s="404" t="s">
        <v>68</v>
      </c>
      <c r="I22" s="405" t="s">
        <v>224</v>
      </c>
      <c r="J22" s="405">
        <f>K22*3.4528</f>
        <v>689460.14508799999</v>
      </c>
      <c r="K22" s="406">
        <v>199681.46</v>
      </c>
      <c r="L22" s="407">
        <v>42919</v>
      </c>
      <c r="M22" s="446">
        <v>43479</v>
      </c>
      <c r="N22" s="456" t="s">
        <v>68</v>
      </c>
      <c r="O22" s="144" t="s">
        <v>167</v>
      </c>
      <c r="P22" s="146">
        <v>41808</v>
      </c>
      <c r="Q22" s="85">
        <v>1723.35</v>
      </c>
      <c r="R22" s="160"/>
      <c r="S22" s="148">
        <v>41919</v>
      </c>
    </row>
    <row r="23" spans="1:19" x14ac:dyDescent="0.25">
      <c r="A23" s="22">
        <v>21</v>
      </c>
      <c r="B23" s="77" t="s">
        <v>47</v>
      </c>
      <c r="C23" s="73">
        <v>40</v>
      </c>
      <c r="D23" s="89">
        <v>1</v>
      </c>
      <c r="E23" s="73" t="s">
        <v>121</v>
      </c>
      <c r="F23" s="162">
        <v>41610</v>
      </c>
      <c r="G23" s="163">
        <f>24/40</f>
        <v>0.6</v>
      </c>
      <c r="H23" s="164" t="s">
        <v>68</v>
      </c>
      <c r="I23" s="73" t="s">
        <v>228</v>
      </c>
      <c r="J23" s="165">
        <v>1456789.13</v>
      </c>
      <c r="K23" s="145">
        <f t="shared" ref="K23:K33" si="1">J23/3.4528</f>
        <v>421915.29483317886</v>
      </c>
      <c r="L23" s="128">
        <v>41724</v>
      </c>
      <c r="M23" s="75">
        <v>42710</v>
      </c>
      <c r="N23" s="73" t="s">
        <v>68</v>
      </c>
      <c r="O23" s="144" t="s">
        <v>111</v>
      </c>
      <c r="P23" s="149">
        <v>41607</v>
      </c>
      <c r="Q23" s="150">
        <v>1748</v>
      </c>
      <c r="R23" s="151"/>
      <c r="S23" s="148">
        <v>41722</v>
      </c>
    </row>
    <row r="24" spans="1:19" x14ac:dyDescent="0.25">
      <c r="A24" s="22">
        <v>22</v>
      </c>
      <c r="B24" s="260" t="s">
        <v>48</v>
      </c>
      <c r="C24" s="42">
        <v>45</v>
      </c>
      <c r="D24" s="238">
        <v>1</v>
      </c>
      <c r="E24" s="42" t="s">
        <v>147</v>
      </c>
      <c r="F24" s="261">
        <v>41599</v>
      </c>
      <c r="G24" s="262">
        <f>26/45</f>
        <v>0.57777777777777772</v>
      </c>
      <c r="H24" s="263" t="s">
        <v>68</v>
      </c>
      <c r="I24" s="236" t="s">
        <v>228</v>
      </c>
      <c r="J24" s="289">
        <f>923720.55</f>
        <v>923720.55</v>
      </c>
      <c r="K24" s="252">
        <f t="shared" si="1"/>
        <v>267527.96281278966</v>
      </c>
      <c r="L24" s="250">
        <v>41848</v>
      </c>
      <c r="M24" s="253">
        <v>42347</v>
      </c>
      <c r="N24" s="42" t="s">
        <v>68</v>
      </c>
      <c r="O24" s="236" t="s">
        <v>111</v>
      </c>
      <c r="P24" s="254">
        <v>41607</v>
      </c>
      <c r="Q24" s="255">
        <v>1748</v>
      </c>
      <c r="R24" s="256"/>
      <c r="S24" s="257">
        <v>41722</v>
      </c>
    </row>
    <row r="25" spans="1:19" x14ac:dyDescent="0.25">
      <c r="A25" s="22">
        <v>23</v>
      </c>
      <c r="B25" s="260" t="s">
        <v>49</v>
      </c>
      <c r="C25" s="42">
        <v>75</v>
      </c>
      <c r="D25" s="238">
        <v>0</v>
      </c>
      <c r="E25" s="42" t="s">
        <v>116</v>
      </c>
      <c r="F25" s="261">
        <v>41611</v>
      </c>
      <c r="G25" s="262">
        <f>45/75</f>
        <v>0.6</v>
      </c>
      <c r="H25" s="237" t="s">
        <v>68</v>
      </c>
      <c r="I25" s="236" t="s">
        <v>228</v>
      </c>
      <c r="J25" s="289">
        <v>1696000.19</v>
      </c>
      <c r="K25" s="252">
        <f t="shared" si="1"/>
        <v>491195.60646431881</v>
      </c>
      <c r="L25" s="250">
        <v>41746</v>
      </c>
      <c r="M25" s="253">
        <v>42347</v>
      </c>
      <c r="N25" s="42" t="s">
        <v>68</v>
      </c>
      <c r="O25" s="236" t="s">
        <v>167</v>
      </c>
      <c r="P25" s="258">
        <v>41843</v>
      </c>
      <c r="Q25" s="125">
        <v>1723.35</v>
      </c>
      <c r="R25" s="136"/>
      <c r="S25" s="257">
        <v>41914</v>
      </c>
    </row>
    <row r="26" spans="1:19" x14ac:dyDescent="0.25">
      <c r="A26" s="22">
        <v>24</v>
      </c>
      <c r="B26" s="260" t="s">
        <v>50</v>
      </c>
      <c r="C26" s="42">
        <v>45</v>
      </c>
      <c r="D26" s="238">
        <v>1</v>
      </c>
      <c r="E26" s="42" t="s">
        <v>120</v>
      </c>
      <c r="F26" s="261">
        <v>41597</v>
      </c>
      <c r="G26" s="262">
        <f>30/45</f>
        <v>0.66666666666666663</v>
      </c>
      <c r="H26" s="263" t="s">
        <v>68</v>
      </c>
      <c r="I26" s="236" t="s">
        <v>224</v>
      </c>
      <c r="J26" s="252">
        <v>1152731.33</v>
      </c>
      <c r="K26" s="252">
        <f t="shared" si="1"/>
        <v>333854.06916126044</v>
      </c>
      <c r="L26" s="250">
        <v>41694</v>
      </c>
      <c r="M26" s="253">
        <v>42173</v>
      </c>
      <c r="N26" s="292" t="s">
        <v>68</v>
      </c>
      <c r="O26" s="236" t="s">
        <v>167</v>
      </c>
      <c r="P26" s="258">
        <v>41844</v>
      </c>
      <c r="Q26" s="125">
        <v>1726.12</v>
      </c>
      <c r="R26" s="136"/>
      <c r="S26" s="257">
        <v>41914</v>
      </c>
    </row>
    <row r="27" spans="1:19" x14ac:dyDescent="0.25">
      <c r="A27" s="22">
        <v>25</v>
      </c>
      <c r="B27" s="260" t="s">
        <v>52</v>
      </c>
      <c r="C27" s="42">
        <v>40</v>
      </c>
      <c r="D27" s="238">
        <v>0</v>
      </c>
      <c r="E27" s="42" t="s">
        <v>136</v>
      </c>
      <c r="F27" s="261">
        <v>41612</v>
      </c>
      <c r="G27" s="262">
        <f>24/40</f>
        <v>0.6</v>
      </c>
      <c r="H27" s="263" t="s">
        <v>68</v>
      </c>
      <c r="I27" s="236" t="s">
        <v>96</v>
      </c>
      <c r="J27" s="252">
        <v>956485.64</v>
      </c>
      <c r="K27" s="252">
        <f t="shared" si="1"/>
        <v>277017.38878591289</v>
      </c>
      <c r="L27" s="250">
        <v>41743</v>
      </c>
      <c r="M27" s="253">
        <v>42209</v>
      </c>
      <c r="N27" s="292" t="s">
        <v>68</v>
      </c>
      <c r="O27" s="236" t="s">
        <v>167</v>
      </c>
      <c r="P27" s="258">
        <v>41850</v>
      </c>
      <c r="Q27" s="125">
        <v>1723.35</v>
      </c>
      <c r="R27" s="136"/>
      <c r="S27" s="257">
        <v>41914</v>
      </c>
    </row>
    <row r="28" spans="1:19" x14ac:dyDescent="0.25">
      <c r="A28" s="22">
        <v>26</v>
      </c>
      <c r="B28" s="260" t="s">
        <v>54</v>
      </c>
      <c r="C28" s="42">
        <v>65</v>
      </c>
      <c r="D28" s="238">
        <v>5</v>
      </c>
      <c r="E28" s="42" t="s">
        <v>137</v>
      </c>
      <c r="F28" s="261">
        <v>41606</v>
      </c>
      <c r="G28" s="262">
        <f>38/65</f>
        <v>0.58461538461538465</v>
      </c>
      <c r="H28" s="263" t="s">
        <v>68</v>
      </c>
      <c r="I28" s="236" t="s">
        <v>96</v>
      </c>
      <c r="J28" s="252">
        <v>1053825.3</v>
      </c>
      <c r="K28" s="252">
        <f t="shared" si="1"/>
        <v>305208.90291936981</v>
      </c>
      <c r="L28" s="250">
        <v>41779</v>
      </c>
      <c r="M28" s="253">
        <v>42209</v>
      </c>
      <c r="N28" s="292" t="s">
        <v>68</v>
      </c>
      <c r="O28" s="236" t="s">
        <v>167</v>
      </c>
      <c r="P28" s="258">
        <v>41850</v>
      </c>
      <c r="Q28" s="125">
        <v>1723.35</v>
      </c>
      <c r="R28" s="136"/>
      <c r="S28" s="257">
        <v>41914</v>
      </c>
    </row>
    <row r="29" spans="1:19" x14ac:dyDescent="0.25">
      <c r="A29" s="22">
        <v>27</v>
      </c>
      <c r="B29" s="260" t="s">
        <v>56</v>
      </c>
      <c r="C29" s="42">
        <v>25</v>
      </c>
      <c r="D29" s="238">
        <v>0</v>
      </c>
      <c r="E29" s="42" t="s">
        <v>138</v>
      </c>
      <c r="F29" s="261">
        <v>41612</v>
      </c>
      <c r="G29" s="262">
        <f>14/24</f>
        <v>0.58333333333333337</v>
      </c>
      <c r="H29" s="237" t="s">
        <v>68</v>
      </c>
      <c r="I29" s="236" t="s">
        <v>78</v>
      </c>
      <c r="J29" s="252">
        <v>719911.01</v>
      </c>
      <c r="K29" s="252">
        <f t="shared" si="1"/>
        <v>208500.64006024098</v>
      </c>
      <c r="L29" s="250">
        <v>41747</v>
      </c>
      <c r="M29" s="253">
        <v>42192</v>
      </c>
      <c r="N29" s="292" t="s">
        <v>68</v>
      </c>
      <c r="O29" s="236" t="s">
        <v>167</v>
      </c>
      <c r="P29" s="258">
        <v>41850</v>
      </c>
      <c r="Q29" s="125">
        <v>1723.35</v>
      </c>
      <c r="R29" s="136"/>
      <c r="S29" s="257">
        <v>41914</v>
      </c>
    </row>
    <row r="30" spans="1:19" x14ac:dyDescent="0.25">
      <c r="A30" s="22">
        <v>28</v>
      </c>
      <c r="B30" s="260" t="s">
        <v>57</v>
      </c>
      <c r="C30" s="42">
        <v>80</v>
      </c>
      <c r="D30" s="238">
        <v>3</v>
      </c>
      <c r="E30" s="42" t="s">
        <v>125</v>
      </c>
      <c r="F30" s="261">
        <v>41596</v>
      </c>
      <c r="G30" s="262">
        <f>50/80</f>
        <v>0.625</v>
      </c>
      <c r="H30" s="263" t="s">
        <v>68</v>
      </c>
      <c r="I30" s="236" t="s">
        <v>78</v>
      </c>
      <c r="J30" s="289">
        <v>2036111.41</v>
      </c>
      <c r="K30" s="252">
        <f t="shared" si="1"/>
        <v>589698.62430491194</v>
      </c>
      <c r="L30" s="250">
        <v>41710</v>
      </c>
      <c r="M30" s="253">
        <v>42310</v>
      </c>
      <c r="N30" s="42" t="s">
        <v>68</v>
      </c>
      <c r="O30" s="236" t="s">
        <v>111</v>
      </c>
      <c r="P30" s="254">
        <v>41607</v>
      </c>
      <c r="Q30" s="255">
        <v>1748</v>
      </c>
      <c r="R30" s="256"/>
      <c r="S30" s="257">
        <v>41722</v>
      </c>
    </row>
    <row r="31" spans="1:19" x14ac:dyDescent="0.25">
      <c r="A31" s="22">
        <v>29</v>
      </c>
      <c r="B31" s="260" t="s">
        <v>383</v>
      </c>
      <c r="C31" s="42">
        <v>45</v>
      </c>
      <c r="D31" s="238">
        <v>0</v>
      </c>
      <c r="E31" s="42" t="s">
        <v>156</v>
      </c>
      <c r="F31" s="261">
        <v>41663</v>
      </c>
      <c r="G31" s="301">
        <f>32/45</f>
        <v>0.71111111111111114</v>
      </c>
      <c r="H31" s="263" t="s">
        <v>68</v>
      </c>
      <c r="I31" s="236" t="s">
        <v>228</v>
      </c>
      <c r="J31" s="289">
        <v>1545051.75</v>
      </c>
      <c r="K31" s="252">
        <f t="shared" si="1"/>
        <v>447477.91647358669</v>
      </c>
      <c r="L31" s="250">
        <v>41743</v>
      </c>
      <c r="M31" s="253">
        <v>42278</v>
      </c>
      <c r="N31" s="292" t="s">
        <v>68</v>
      </c>
      <c r="O31" s="236" t="s">
        <v>167</v>
      </c>
      <c r="P31" s="258">
        <v>41906</v>
      </c>
      <c r="Q31" s="125">
        <v>1716.42</v>
      </c>
      <c r="R31" s="136"/>
      <c r="S31" s="257">
        <v>41947</v>
      </c>
    </row>
    <row r="32" spans="1:19" x14ac:dyDescent="0.25">
      <c r="A32" s="22">
        <v>30</v>
      </c>
      <c r="B32" s="77" t="s">
        <v>60</v>
      </c>
      <c r="C32" s="73">
        <v>50</v>
      </c>
      <c r="D32" s="89">
        <v>4</v>
      </c>
      <c r="E32" s="73" t="s">
        <v>141</v>
      </c>
      <c r="F32" s="162">
        <v>41613</v>
      </c>
      <c r="G32" s="163">
        <f>30/50</f>
        <v>0.6</v>
      </c>
      <c r="H32" s="164" t="s">
        <v>68</v>
      </c>
      <c r="I32" s="73" t="s">
        <v>228</v>
      </c>
      <c r="J32" s="165">
        <v>1275003.67</v>
      </c>
      <c r="K32" s="145">
        <f t="shared" si="1"/>
        <v>369266.5865384615</v>
      </c>
      <c r="L32" s="128">
        <v>41739</v>
      </c>
      <c r="M32" s="75">
        <v>42710</v>
      </c>
      <c r="N32" s="73" t="s">
        <v>68</v>
      </c>
      <c r="O32" s="144" t="s">
        <v>167</v>
      </c>
      <c r="P32" s="146">
        <v>41850</v>
      </c>
      <c r="Q32" s="85">
        <v>1723.35</v>
      </c>
      <c r="R32" s="160"/>
      <c r="S32" s="148">
        <v>41914</v>
      </c>
    </row>
    <row r="33" spans="1:19" x14ac:dyDescent="0.25">
      <c r="A33" s="22">
        <v>31</v>
      </c>
      <c r="B33" s="260" t="s">
        <v>61</v>
      </c>
      <c r="C33" s="42">
        <v>60</v>
      </c>
      <c r="D33" s="238">
        <v>4</v>
      </c>
      <c r="E33" s="42" t="s">
        <v>134</v>
      </c>
      <c r="F33" s="261">
        <v>41612</v>
      </c>
      <c r="G33" s="262">
        <f>40/60</f>
        <v>0.66666666666666663</v>
      </c>
      <c r="H33" s="263" t="s">
        <v>68</v>
      </c>
      <c r="I33" s="236" t="s">
        <v>78</v>
      </c>
      <c r="J33" s="289">
        <v>1315111.1100000001</v>
      </c>
      <c r="K33" s="252">
        <f t="shared" si="1"/>
        <v>380882.50405468029</v>
      </c>
      <c r="L33" s="250">
        <v>41774</v>
      </c>
      <c r="M33" s="253">
        <v>42353</v>
      </c>
      <c r="N33" s="42" t="s">
        <v>68</v>
      </c>
      <c r="O33" s="236" t="s">
        <v>167</v>
      </c>
      <c r="P33" s="258">
        <v>41850</v>
      </c>
      <c r="Q33" s="125">
        <v>1723.35</v>
      </c>
      <c r="R33" s="136"/>
      <c r="S33" s="257">
        <v>41914</v>
      </c>
    </row>
    <row r="34" spans="1:19" ht="15.75" thickBot="1" x14ac:dyDescent="0.3">
      <c r="A34" s="24">
        <v>32</v>
      </c>
      <c r="B34" s="167" t="s">
        <v>63</v>
      </c>
      <c r="C34" s="167">
        <v>120</v>
      </c>
      <c r="D34" s="168">
        <v>72</v>
      </c>
      <c r="E34" s="167" t="s">
        <v>126</v>
      </c>
      <c r="F34" s="169">
        <v>41598</v>
      </c>
      <c r="G34" s="178">
        <f>75/120</f>
        <v>0.625</v>
      </c>
      <c r="H34" s="34" t="s">
        <v>75</v>
      </c>
      <c r="I34" s="35"/>
      <c r="J34" s="35"/>
      <c r="K34" s="81"/>
      <c r="L34" s="34"/>
      <c r="M34" s="35"/>
      <c r="N34" s="81"/>
      <c r="O34" s="171" t="s">
        <v>167</v>
      </c>
      <c r="P34" s="172">
        <v>41851</v>
      </c>
      <c r="Q34" s="185">
        <v>1723.35</v>
      </c>
      <c r="R34" s="351"/>
      <c r="S34" s="174">
        <v>41914</v>
      </c>
    </row>
    <row r="35" spans="1:19" x14ac:dyDescent="0.25">
      <c r="A35" s="106"/>
      <c r="B35" s="47" t="s">
        <v>110</v>
      </c>
      <c r="C35" s="2">
        <f>SUM(C3:C34)</f>
        <v>1586</v>
      </c>
      <c r="D35" s="2">
        <f>SUM(D3:D34)</f>
        <v>165</v>
      </c>
      <c r="E35" s="1"/>
      <c r="F35" s="1"/>
      <c r="G35" s="31">
        <f>COUNTIF(G3:G34,"&gt;50%")</f>
        <v>32</v>
      </c>
      <c r="H35" s="31">
        <f>COUNTIF(H3:H34,"Taip")</f>
        <v>30</v>
      </c>
      <c r="I35" s="31">
        <f>COUNTA(I3:I34)</f>
        <v>30</v>
      </c>
      <c r="J35" s="52">
        <f>SUM(J3:J34)</f>
        <v>31549652.451520003</v>
      </c>
      <c r="K35" s="52">
        <f>SUM(K3:K34)</f>
        <v>9811176.5478035212</v>
      </c>
      <c r="L35" s="47">
        <f>COUNTA(L3:L34)</f>
        <v>30</v>
      </c>
      <c r="M35" s="47">
        <f>COUNTA(M3:M34)</f>
        <v>30</v>
      </c>
      <c r="N35" s="47">
        <f>COUNTA(N3:N34)</f>
        <v>29</v>
      </c>
      <c r="O35" s="1"/>
    </row>
    <row r="36" spans="1:19" ht="16.5" thickBot="1" x14ac:dyDescent="0.3">
      <c r="A36" s="484" t="s">
        <v>232</v>
      </c>
      <c r="B36" s="484"/>
      <c r="K36" s="47"/>
      <c r="L36" s="47"/>
      <c r="M36" s="47"/>
      <c r="N36" s="47"/>
      <c r="O36" s="1"/>
    </row>
    <row r="37" spans="1:19" ht="48" customHeight="1" thickBot="1" x14ac:dyDescent="0.3">
      <c r="A37" s="36" t="s">
        <v>0</v>
      </c>
      <c r="B37" s="37" t="s">
        <v>1</v>
      </c>
      <c r="C37" s="38" t="s">
        <v>94</v>
      </c>
      <c r="D37" s="53" t="s">
        <v>95</v>
      </c>
      <c r="E37" s="53" t="s">
        <v>102</v>
      </c>
      <c r="F37" s="38" t="s">
        <v>2</v>
      </c>
      <c r="G37" s="53" t="s">
        <v>69</v>
      </c>
      <c r="H37" s="53" t="s">
        <v>3</v>
      </c>
      <c r="I37" s="53" t="s">
        <v>73</v>
      </c>
      <c r="J37" s="53" t="s">
        <v>226</v>
      </c>
      <c r="K37" s="53" t="s">
        <v>225</v>
      </c>
      <c r="L37" s="53" t="s">
        <v>108</v>
      </c>
      <c r="M37" s="53" t="s">
        <v>243</v>
      </c>
      <c r="N37" s="366" t="s">
        <v>381</v>
      </c>
      <c r="O37" s="53" t="s">
        <v>109</v>
      </c>
      <c r="P37" s="53" t="s">
        <v>170</v>
      </c>
      <c r="Q37" s="53" t="s">
        <v>168</v>
      </c>
      <c r="R37" s="53" t="s">
        <v>247</v>
      </c>
      <c r="S37" s="53" t="s">
        <v>486</v>
      </c>
    </row>
    <row r="38" spans="1:19" ht="15" customHeight="1" x14ac:dyDescent="0.25">
      <c r="A38" s="22">
        <v>1</v>
      </c>
      <c r="B38" s="73" t="s">
        <v>5</v>
      </c>
      <c r="C38" s="144">
        <v>6</v>
      </c>
      <c r="D38" s="73">
        <v>3</v>
      </c>
      <c r="E38" s="175" t="s">
        <v>186</v>
      </c>
      <c r="F38" s="138">
        <v>41890</v>
      </c>
      <c r="G38" s="163">
        <f>5/C38</f>
        <v>0.83333333333333337</v>
      </c>
      <c r="H38" s="28" t="s">
        <v>75</v>
      </c>
      <c r="I38" s="15"/>
      <c r="J38" s="15"/>
      <c r="K38" s="15"/>
      <c r="L38" s="46"/>
      <c r="M38" s="46"/>
      <c r="N38" s="95"/>
      <c r="O38" s="152" t="s">
        <v>111</v>
      </c>
      <c r="P38" s="146">
        <v>41883</v>
      </c>
      <c r="Q38" s="147">
        <f t="shared" ref="Q38:Q49" si="2">35798.88/19</f>
        <v>1884.1515789473683</v>
      </c>
      <c r="R38" s="112"/>
      <c r="S38" s="148">
        <v>41908</v>
      </c>
    </row>
    <row r="39" spans="1:19" x14ac:dyDescent="0.25">
      <c r="A39" s="22">
        <v>2</v>
      </c>
      <c r="B39" s="42" t="s">
        <v>6</v>
      </c>
      <c r="C39" s="236">
        <v>60</v>
      </c>
      <c r="D39" s="42">
        <v>2</v>
      </c>
      <c r="E39" s="291" t="s">
        <v>180</v>
      </c>
      <c r="F39" s="292">
        <v>41890</v>
      </c>
      <c r="G39" s="262">
        <f>40/C39</f>
        <v>0.66666666666666663</v>
      </c>
      <c r="H39" s="237" t="s">
        <v>68</v>
      </c>
      <c r="I39" s="236" t="s">
        <v>78</v>
      </c>
      <c r="J39" s="252">
        <f>K39*3.4528</f>
        <v>1655049.4417600001</v>
      </c>
      <c r="K39" s="289">
        <v>479335.45</v>
      </c>
      <c r="L39" s="293">
        <v>42061</v>
      </c>
      <c r="M39" s="293">
        <v>42534</v>
      </c>
      <c r="N39" s="44" t="s">
        <v>68</v>
      </c>
      <c r="O39" s="276" t="s">
        <v>111</v>
      </c>
      <c r="P39" s="258">
        <v>41883</v>
      </c>
      <c r="Q39" s="249">
        <f t="shared" si="2"/>
        <v>1884.1515789473683</v>
      </c>
      <c r="R39" s="259"/>
      <c r="S39" s="257">
        <v>41908</v>
      </c>
    </row>
    <row r="40" spans="1:19" ht="15" customHeight="1" x14ac:dyDescent="0.25">
      <c r="A40" s="22">
        <v>3</v>
      </c>
      <c r="B40" s="42" t="s">
        <v>7</v>
      </c>
      <c r="C40" s="236">
        <v>45</v>
      </c>
      <c r="D40" s="42">
        <v>0</v>
      </c>
      <c r="E40" s="291" t="s">
        <v>190</v>
      </c>
      <c r="F40" s="292">
        <v>41890</v>
      </c>
      <c r="G40" s="262">
        <f>33/C40</f>
        <v>0.73333333333333328</v>
      </c>
      <c r="H40" s="237" t="s">
        <v>68</v>
      </c>
      <c r="I40" s="236" t="s">
        <v>228</v>
      </c>
      <c r="J40" s="252">
        <v>1986094.33</v>
      </c>
      <c r="K40" s="289">
        <f>J40/3.4528</f>
        <v>575212.67666821135</v>
      </c>
      <c r="L40" s="293">
        <v>42002</v>
      </c>
      <c r="M40" s="293">
        <v>42396</v>
      </c>
      <c r="N40" s="44" t="s">
        <v>68</v>
      </c>
      <c r="O40" s="276" t="s">
        <v>111</v>
      </c>
      <c r="P40" s="258">
        <v>41883</v>
      </c>
      <c r="Q40" s="249">
        <f t="shared" si="2"/>
        <v>1884.1515789473683</v>
      </c>
      <c r="R40" s="259"/>
      <c r="S40" s="257">
        <v>41908</v>
      </c>
    </row>
    <row r="41" spans="1:19" x14ac:dyDescent="0.25">
      <c r="A41" s="22">
        <v>4</v>
      </c>
      <c r="B41" s="42" t="s">
        <v>8</v>
      </c>
      <c r="C41" s="236">
        <v>60</v>
      </c>
      <c r="D41" s="42">
        <v>1</v>
      </c>
      <c r="E41" s="291" t="s">
        <v>184</v>
      </c>
      <c r="F41" s="292">
        <v>41891</v>
      </c>
      <c r="G41" s="262">
        <f>36/C41</f>
        <v>0.6</v>
      </c>
      <c r="H41" s="237" t="s">
        <v>68</v>
      </c>
      <c r="I41" s="236" t="s">
        <v>78</v>
      </c>
      <c r="J41" s="252">
        <f t="shared" ref="J41:J50" si="3">K41*3.4528</f>
        <v>1724411.17</v>
      </c>
      <c r="K41" s="289">
        <f>1724411.17/3.4528</f>
        <v>499423.9950185357</v>
      </c>
      <c r="L41" s="293">
        <v>42002</v>
      </c>
      <c r="M41" s="293">
        <v>42402</v>
      </c>
      <c r="N41" s="44" t="s">
        <v>68</v>
      </c>
      <c r="O41" s="276" t="s">
        <v>111</v>
      </c>
      <c r="P41" s="258">
        <v>41883</v>
      </c>
      <c r="Q41" s="249">
        <f t="shared" si="2"/>
        <v>1884.1515789473683</v>
      </c>
      <c r="R41" s="259"/>
      <c r="S41" s="257">
        <v>41908</v>
      </c>
    </row>
    <row r="42" spans="1:19" x14ac:dyDescent="0.25">
      <c r="A42" s="22">
        <v>5</v>
      </c>
      <c r="B42" s="42" t="s">
        <v>9</v>
      </c>
      <c r="C42" s="236">
        <v>50</v>
      </c>
      <c r="D42" s="42">
        <v>4</v>
      </c>
      <c r="E42" s="291" t="s">
        <v>181</v>
      </c>
      <c r="F42" s="292">
        <v>41953</v>
      </c>
      <c r="G42" s="251">
        <f>33/C42</f>
        <v>0.66</v>
      </c>
      <c r="H42" s="236" t="s">
        <v>68</v>
      </c>
      <c r="I42" s="236" t="s">
        <v>224</v>
      </c>
      <c r="J42" s="252">
        <f t="shared" si="3"/>
        <v>1725704.709664</v>
      </c>
      <c r="K42" s="289">
        <v>499798.63</v>
      </c>
      <c r="L42" s="293">
        <v>42034</v>
      </c>
      <c r="M42" s="293">
        <v>42572</v>
      </c>
      <c r="N42" s="44" t="s">
        <v>68</v>
      </c>
      <c r="O42" s="276" t="s">
        <v>111</v>
      </c>
      <c r="P42" s="258">
        <v>41883</v>
      </c>
      <c r="Q42" s="249">
        <f t="shared" si="2"/>
        <v>1884.1515789473683</v>
      </c>
      <c r="R42" s="259"/>
      <c r="S42" s="257">
        <v>41908</v>
      </c>
    </row>
    <row r="43" spans="1:19" x14ac:dyDescent="0.25">
      <c r="A43" s="22">
        <v>6</v>
      </c>
      <c r="B43" s="42" t="s">
        <v>10</v>
      </c>
      <c r="C43" s="236">
        <v>50</v>
      </c>
      <c r="D43" s="42">
        <v>1</v>
      </c>
      <c r="E43" s="291" t="s">
        <v>176</v>
      </c>
      <c r="F43" s="292">
        <v>41891</v>
      </c>
      <c r="G43" s="262">
        <f>31/C43</f>
        <v>0.62</v>
      </c>
      <c r="H43" s="237" t="s">
        <v>68</v>
      </c>
      <c r="I43" s="236" t="s">
        <v>228</v>
      </c>
      <c r="J43" s="252">
        <f t="shared" si="3"/>
        <v>1547000.69</v>
      </c>
      <c r="K43" s="289">
        <f>1547000.69/3.4528</f>
        <v>448042.3685125116</v>
      </c>
      <c r="L43" s="293">
        <v>41995</v>
      </c>
      <c r="M43" s="293">
        <v>42563</v>
      </c>
      <c r="N43" s="44" t="s">
        <v>68</v>
      </c>
      <c r="O43" s="276" t="s">
        <v>111</v>
      </c>
      <c r="P43" s="258">
        <v>41883</v>
      </c>
      <c r="Q43" s="249">
        <f t="shared" si="2"/>
        <v>1884.1515789473683</v>
      </c>
      <c r="R43" s="259"/>
      <c r="S43" s="257">
        <v>41908</v>
      </c>
    </row>
    <row r="44" spans="1:19" x14ac:dyDescent="0.25">
      <c r="A44" s="22">
        <v>7</v>
      </c>
      <c r="B44" s="42" t="s">
        <v>11</v>
      </c>
      <c r="C44" s="236">
        <v>60</v>
      </c>
      <c r="D44" s="42">
        <v>4</v>
      </c>
      <c r="E44" s="291" t="s">
        <v>185</v>
      </c>
      <c r="F44" s="292">
        <v>41892</v>
      </c>
      <c r="G44" s="262">
        <f>36/C44</f>
        <v>0.6</v>
      </c>
      <c r="H44" s="237" t="s">
        <v>68</v>
      </c>
      <c r="I44" s="236" t="s">
        <v>78</v>
      </c>
      <c r="J44" s="252">
        <f t="shared" si="3"/>
        <v>1601316.7955199999</v>
      </c>
      <c r="K44" s="289">
        <v>463773.4</v>
      </c>
      <c r="L44" s="293">
        <v>42058</v>
      </c>
      <c r="M44" s="293">
        <v>42458</v>
      </c>
      <c r="N44" s="44" t="s">
        <v>68</v>
      </c>
      <c r="O44" s="276" t="s">
        <v>111</v>
      </c>
      <c r="P44" s="258">
        <v>41883</v>
      </c>
      <c r="Q44" s="249">
        <f t="shared" si="2"/>
        <v>1884.1515789473683</v>
      </c>
      <c r="R44" s="259"/>
      <c r="S44" s="257">
        <v>41908</v>
      </c>
    </row>
    <row r="45" spans="1:19" x14ac:dyDescent="0.25">
      <c r="A45" s="22">
        <v>8</v>
      </c>
      <c r="B45" s="42" t="s">
        <v>12</v>
      </c>
      <c r="C45" s="236">
        <v>45</v>
      </c>
      <c r="D45" s="42">
        <v>0</v>
      </c>
      <c r="E45" s="291" t="s">
        <v>191</v>
      </c>
      <c r="F45" s="292">
        <v>41912</v>
      </c>
      <c r="G45" s="262">
        <f>29/C45</f>
        <v>0.64444444444444449</v>
      </c>
      <c r="H45" s="237" t="s">
        <v>68</v>
      </c>
      <c r="I45" s="236" t="s">
        <v>174</v>
      </c>
      <c r="J45" s="252">
        <f t="shared" si="3"/>
        <v>1646839.8918399999</v>
      </c>
      <c r="K45" s="289">
        <v>476957.8</v>
      </c>
      <c r="L45" s="293">
        <v>42023</v>
      </c>
      <c r="M45" s="293">
        <v>42573</v>
      </c>
      <c r="N45" s="44" t="s">
        <v>68</v>
      </c>
      <c r="O45" s="276" t="s">
        <v>111</v>
      </c>
      <c r="P45" s="258">
        <v>41883</v>
      </c>
      <c r="Q45" s="249">
        <f t="shared" si="2"/>
        <v>1884.1515789473683</v>
      </c>
      <c r="R45" s="259"/>
      <c r="S45" s="257">
        <v>41908</v>
      </c>
    </row>
    <row r="46" spans="1:19" x14ac:dyDescent="0.25">
      <c r="A46" s="22">
        <v>9</v>
      </c>
      <c r="B46" s="42" t="s">
        <v>13</v>
      </c>
      <c r="C46" s="236">
        <v>8</v>
      </c>
      <c r="D46" s="42">
        <v>0</v>
      </c>
      <c r="E46" s="291" t="s">
        <v>179</v>
      </c>
      <c r="F46" s="292">
        <v>41912</v>
      </c>
      <c r="G46" s="262">
        <v>1</v>
      </c>
      <c r="H46" s="237" t="s">
        <v>68</v>
      </c>
      <c r="I46" s="236" t="s">
        <v>174</v>
      </c>
      <c r="J46" s="252">
        <f t="shared" si="3"/>
        <v>399387.82748799998</v>
      </c>
      <c r="K46" s="289">
        <v>115670.71</v>
      </c>
      <c r="L46" s="293">
        <v>42041</v>
      </c>
      <c r="M46" s="293">
        <v>42404</v>
      </c>
      <c r="N46" s="44" t="s">
        <v>68</v>
      </c>
      <c r="O46" s="276" t="s">
        <v>111</v>
      </c>
      <c r="P46" s="258">
        <v>41883</v>
      </c>
      <c r="Q46" s="249">
        <f t="shared" si="2"/>
        <v>1884.1515789473683</v>
      </c>
      <c r="R46" s="259"/>
      <c r="S46" s="257">
        <v>41908</v>
      </c>
    </row>
    <row r="47" spans="1:19" x14ac:dyDescent="0.25">
      <c r="A47" s="22">
        <v>10</v>
      </c>
      <c r="B47" s="73" t="s">
        <v>14</v>
      </c>
      <c r="C47" s="144">
        <v>60</v>
      </c>
      <c r="D47" s="73">
        <v>2</v>
      </c>
      <c r="E47" s="175" t="s">
        <v>194</v>
      </c>
      <c r="F47" s="138">
        <v>41926</v>
      </c>
      <c r="G47" s="163">
        <f>37/C47</f>
        <v>0.6166666666666667</v>
      </c>
      <c r="H47" s="74" t="s">
        <v>68</v>
      </c>
      <c r="I47" s="144" t="s">
        <v>228</v>
      </c>
      <c r="J47" s="145">
        <f t="shared" si="3"/>
        <v>1556951.3194560001</v>
      </c>
      <c r="K47" s="165">
        <v>450924.27</v>
      </c>
      <c r="L47" s="176">
        <v>42080</v>
      </c>
      <c r="M47" s="75">
        <v>42605</v>
      </c>
      <c r="N47" s="102" t="s">
        <v>68</v>
      </c>
      <c r="O47" s="152" t="s">
        <v>111</v>
      </c>
      <c r="P47" s="146">
        <v>41883</v>
      </c>
      <c r="Q47" s="147">
        <f t="shared" si="2"/>
        <v>1884.1515789473683</v>
      </c>
      <c r="R47" s="112">
        <f>Q47/3.4528</f>
        <v>545.68801521876981</v>
      </c>
      <c r="S47" s="148">
        <v>41908</v>
      </c>
    </row>
    <row r="48" spans="1:19" x14ac:dyDescent="0.25">
      <c r="A48" s="22">
        <v>11</v>
      </c>
      <c r="B48" s="73" t="s">
        <v>388</v>
      </c>
      <c r="C48" s="144">
        <v>75</v>
      </c>
      <c r="D48" s="73">
        <v>0</v>
      </c>
      <c r="E48" s="175" t="s">
        <v>188</v>
      </c>
      <c r="F48" s="138">
        <v>41939</v>
      </c>
      <c r="G48" s="143">
        <f>50/C48</f>
        <v>0.66666666666666663</v>
      </c>
      <c r="H48" s="74" t="s">
        <v>68</v>
      </c>
      <c r="I48" s="144" t="s">
        <v>228</v>
      </c>
      <c r="J48" s="145">
        <f t="shared" si="3"/>
        <v>1968156.5621120001</v>
      </c>
      <c r="K48" s="165">
        <v>570017.54</v>
      </c>
      <c r="L48" s="176">
        <v>42076</v>
      </c>
      <c r="M48" s="176">
        <v>42660</v>
      </c>
      <c r="N48" s="102" t="s">
        <v>68</v>
      </c>
      <c r="O48" s="152" t="s">
        <v>111</v>
      </c>
      <c r="P48" s="146">
        <v>41883</v>
      </c>
      <c r="Q48" s="147">
        <f t="shared" si="2"/>
        <v>1884.1515789473683</v>
      </c>
      <c r="R48" s="112"/>
      <c r="S48" s="148">
        <v>41908</v>
      </c>
    </row>
    <row r="49" spans="1:19" x14ac:dyDescent="0.25">
      <c r="A49" s="22">
        <v>12</v>
      </c>
      <c r="B49" s="42" t="s">
        <v>19</v>
      </c>
      <c r="C49" s="236">
        <v>60</v>
      </c>
      <c r="D49" s="42">
        <v>3</v>
      </c>
      <c r="E49" s="291" t="s">
        <v>182</v>
      </c>
      <c r="F49" s="292">
        <v>41897</v>
      </c>
      <c r="G49" s="251">
        <f>47/C49</f>
        <v>0.78333333333333333</v>
      </c>
      <c r="H49" s="237" t="s">
        <v>68</v>
      </c>
      <c r="I49" s="236" t="s">
        <v>78</v>
      </c>
      <c r="J49" s="252">
        <f t="shared" si="3"/>
        <v>1491060.49</v>
      </c>
      <c r="K49" s="289">
        <f>1491060.49/3.4528</f>
        <v>431840.96675162186</v>
      </c>
      <c r="L49" s="293">
        <v>42002</v>
      </c>
      <c r="M49" s="293">
        <v>42346</v>
      </c>
      <c r="N49" s="44" t="s">
        <v>68</v>
      </c>
      <c r="O49" s="276" t="s">
        <v>111</v>
      </c>
      <c r="P49" s="258">
        <v>41883</v>
      </c>
      <c r="Q49" s="255">
        <f t="shared" si="2"/>
        <v>1884.1515789473683</v>
      </c>
      <c r="R49" s="256"/>
      <c r="S49" s="257">
        <v>41908</v>
      </c>
    </row>
    <row r="50" spans="1:19" x14ac:dyDescent="0.25">
      <c r="A50" s="22">
        <v>13</v>
      </c>
      <c r="B50" s="42" t="s">
        <v>20</v>
      </c>
      <c r="C50" s="236">
        <v>54</v>
      </c>
      <c r="D50" s="42">
        <v>2</v>
      </c>
      <c r="E50" s="236" t="s">
        <v>153</v>
      </c>
      <c r="F50" s="292">
        <v>41764</v>
      </c>
      <c r="G50" s="251">
        <v>0.63</v>
      </c>
      <c r="H50" s="237" t="s">
        <v>68</v>
      </c>
      <c r="I50" s="236" t="s">
        <v>78</v>
      </c>
      <c r="J50" s="252">
        <f t="shared" si="3"/>
        <v>1478396.02</v>
      </c>
      <c r="K50" s="289">
        <f>1478396.02/3.4528</f>
        <v>428173.08271547733</v>
      </c>
      <c r="L50" s="253">
        <v>41862</v>
      </c>
      <c r="M50" s="253">
        <v>42396</v>
      </c>
      <c r="N50" s="44" t="s">
        <v>68</v>
      </c>
      <c r="O50" s="236" t="s">
        <v>167</v>
      </c>
      <c r="P50" s="258">
        <v>41865</v>
      </c>
      <c r="Q50" s="249">
        <v>1827.1</v>
      </c>
      <c r="R50" s="259"/>
      <c r="S50" s="257">
        <v>41914</v>
      </c>
    </row>
    <row r="51" spans="1:19" x14ac:dyDescent="0.25">
      <c r="A51" s="22">
        <v>14</v>
      </c>
      <c r="B51" s="73" t="s">
        <v>475</v>
      </c>
      <c r="C51" s="144">
        <v>53</v>
      </c>
      <c r="D51" s="73">
        <v>0</v>
      </c>
      <c r="E51" s="144" t="s">
        <v>124</v>
      </c>
      <c r="F51" s="138">
        <v>41765</v>
      </c>
      <c r="G51" s="143">
        <f>36/53</f>
        <v>0.67924528301886788</v>
      </c>
      <c r="H51" s="74" t="s">
        <v>68</v>
      </c>
      <c r="I51" s="73" t="s">
        <v>96</v>
      </c>
      <c r="J51" s="145">
        <v>1277722.56</v>
      </c>
      <c r="K51" s="165">
        <v>370054.03</v>
      </c>
      <c r="L51" s="75">
        <v>42166</v>
      </c>
      <c r="M51" s="75">
        <v>42661</v>
      </c>
      <c r="N51" s="73" t="s">
        <v>68</v>
      </c>
      <c r="O51" s="144" t="s">
        <v>167</v>
      </c>
      <c r="P51" s="146">
        <v>41865</v>
      </c>
      <c r="Q51" s="147">
        <v>1827.1</v>
      </c>
      <c r="R51" s="1">
        <f>Q51/3.4528</f>
        <v>529.16473586654308</v>
      </c>
      <c r="S51" s="148">
        <v>41914</v>
      </c>
    </row>
    <row r="52" spans="1:19" x14ac:dyDescent="0.25">
      <c r="A52" s="22">
        <v>15</v>
      </c>
      <c r="B52" s="42" t="s">
        <v>65</v>
      </c>
      <c r="C52" s="236">
        <v>20</v>
      </c>
      <c r="D52" s="42">
        <v>0</v>
      </c>
      <c r="E52" s="236" t="s">
        <v>163</v>
      </c>
      <c r="F52" s="292">
        <v>41583</v>
      </c>
      <c r="G52" s="251">
        <f>SUM(12/20)</f>
        <v>0.6</v>
      </c>
      <c r="H52" s="237" t="s">
        <v>68</v>
      </c>
      <c r="I52" s="42" t="s">
        <v>99</v>
      </c>
      <c r="J52" s="252">
        <f>K52*3.4528</f>
        <v>589513.03</v>
      </c>
      <c r="K52" s="289">
        <f>589513.03/3.4528</f>
        <v>170734.77467562558</v>
      </c>
      <c r="L52" s="253">
        <v>41775</v>
      </c>
      <c r="M52" s="253">
        <v>42618</v>
      </c>
      <c r="N52" s="42" t="s">
        <v>68</v>
      </c>
      <c r="O52" s="236" t="s">
        <v>167</v>
      </c>
      <c r="P52" s="258">
        <v>42430</v>
      </c>
      <c r="Q52" s="249">
        <f>R52*3.4528</f>
        <v>818.00284799999997</v>
      </c>
      <c r="R52" s="136">
        <v>236.91</v>
      </c>
      <c r="S52" s="257">
        <v>42467</v>
      </c>
    </row>
    <row r="53" spans="1:19" x14ac:dyDescent="0.25">
      <c r="A53" s="22">
        <v>16</v>
      </c>
      <c r="B53" s="42" t="s">
        <v>22</v>
      </c>
      <c r="C53" s="236">
        <v>75</v>
      </c>
      <c r="D53" s="42">
        <v>2</v>
      </c>
      <c r="E53" s="236" t="s">
        <v>151</v>
      </c>
      <c r="F53" s="292">
        <v>41764</v>
      </c>
      <c r="G53" s="251">
        <f>47/75</f>
        <v>0.62666666666666671</v>
      </c>
      <c r="H53" s="237" t="s">
        <v>68</v>
      </c>
      <c r="I53" s="236" t="s">
        <v>228</v>
      </c>
      <c r="J53" s="252">
        <v>1878047.32</v>
      </c>
      <c r="K53" s="289">
        <f>J53/3.4528</f>
        <v>543920.09962928644</v>
      </c>
      <c r="L53" s="253">
        <v>41848</v>
      </c>
      <c r="M53" s="253">
        <v>42361</v>
      </c>
      <c r="N53" s="42" t="s">
        <v>68</v>
      </c>
      <c r="O53" s="236" t="s">
        <v>167</v>
      </c>
      <c r="P53" s="258">
        <v>41865</v>
      </c>
      <c r="Q53" s="249">
        <v>1827.1</v>
      </c>
      <c r="R53" s="259"/>
      <c r="S53" s="257">
        <v>41914</v>
      </c>
    </row>
    <row r="54" spans="1:19" ht="15.75" thickBot="1" x14ac:dyDescent="0.3">
      <c r="A54" s="39">
        <v>17</v>
      </c>
      <c r="B54" s="43" t="s">
        <v>23</v>
      </c>
      <c r="C54" s="239">
        <v>30</v>
      </c>
      <c r="D54" s="43">
        <v>0</v>
      </c>
      <c r="E54" s="239" t="s">
        <v>148</v>
      </c>
      <c r="F54" s="265">
        <v>41765</v>
      </c>
      <c r="G54" s="266">
        <f>19/30</f>
        <v>0.6333333333333333</v>
      </c>
      <c r="H54" s="240" t="s">
        <v>68</v>
      </c>
      <c r="I54" s="267" t="s">
        <v>174</v>
      </c>
      <c r="J54" s="267">
        <f>K54*3.4528</f>
        <v>771145.1</v>
      </c>
      <c r="K54" s="267">
        <f>771145.1/3.4528</f>
        <v>223339.05815569972</v>
      </c>
      <c r="L54" s="268">
        <v>41862</v>
      </c>
      <c r="M54" s="268">
        <v>42283</v>
      </c>
      <c r="N54" s="265" t="s">
        <v>68</v>
      </c>
      <c r="O54" s="239" t="s">
        <v>167</v>
      </c>
      <c r="P54" s="269">
        <v>41865</v>
      </c>
      <c r="Q54" s="270">
        <v>1827.1</v>
      </c>
      <c r="R54" s="271"/>
      <c r="S54" s="272">
        <v>41914</v>
      </c>
    </row>
    <row r="55" spans="1:19" s="33" customFormat="1" x14ac:dyDescent="0.25">
      <c r="A55" s="48"/>
      <c r="B55" s="49" t="s">
        <v>110</v>
      </c>
      <c r="C55" s="33">
        <f>SUM(C38:C54)</f>
        <v>811</v>
      </c>
      <c r="D55" s="33">
        <f>SUM(D38:D54)</f>
        <v>24</v>
      </c>
      <c r="E55" s="47"/>
      <c r="F55" s="54"/>
      <c r="G55" s="47">
        <f>COUNTIF(G38:G54,"&gt;0,5")</f>
        <v>17</v>
      </c>
      <c r="H55" s="47">
        <f>COUNTIF(H38:H54,"Taip")</f>
        <v>16</v>
      </c>
      <c r="I55" s="47">
        <f>COUNTA(I38:I54)</f>
        <v>16</v>
      </c>
      <c r="J55" s="52">
        <f>SUM(J38:J54)</f>
        <v>23296797.25784</v>
      </c>
      <c r="K55" s="52">
        <f>SUM(K38:K54)</f>
        <v>6747218.85212697</v>
      </c>
      <c r="L55" s="47">
        <f>COUNTA(L38:L54)</f>
        <v>16</v>
      </c>
      <c r="M55" s="47">
        <f>COUNTA(M38:M54)</f>
        <v>16</v>
      </c>
      <c r="N55" s="47">
        <f>COUNTA(N38:N54)</f>
        <v>16</v>
      </c>
      <c r="O55" s="47"/>
    </row>
    <row r="56" spans="1:19" ht="16.5" thickBot="1" x14ac:dyDescent="0.3">
      <c r="A56" s="485" t="s">
        <v>233</v>
      </c>
      <c r="B56" s="485"/>
    </row>
    <row r="57" spans="1:19" ht="44.25" customHeight="1" thickBot="1" x14ac:dyDescent="0.3">
      <c r="A57" s="36" t="s">
        <v>0</v>
      </c>
      <c r="B57" s="37" t="s">
        <v>1</v>
      </c>
      <c r="C57" s="53" t="s">
        <v>94</v>
      </c>
      <c r="D57" s="53" t="s">
        <v>95</v>
      </c>
      <c r="E57" s="53" t="s">
        <v>102</v>
      </c>
      <c r="F57" s="53" t="s">
        <v>2</v>
      </c>
      <c r="G57" s="53" t="s">
        <v>69</v>
      </c>
      <c r="H57" s="53" t="s">
        <v>3</v>
      </c>
      <c r="I57" s="53" t="s">
        <v>73</v>
      </c>
      <c r="J57" s="53" t="s">
        <v>226</v>
      </c>
      <c r="K57" s="53" t="s">
        <v>225</v>
      </c>
      <c r="L57" s="53" t="s">
        <v>108</v>
      </c>
      <c r="M57" s="53" t="s">
        <v>243</v>
      </c>
      <c r="N57" s="366" t="s">
        <v>381</v>
      </c>
      <c r="O57" s="53" t="s">
        <v>109</v>
      </c>
      <c r="P57" s="53" t="s">
        <v>170</v>
      </c>
      <c r="Q57" s="53" t="s">
        <v>168</v>
      </c>
      <c r="R57" s="53" t="s">
        <v>247</v>
      </c>
      <c r="S57" s="53" t="s">
        <v>486</v>
      </c>
    </row>
    <row r="58" spans="1:19" x14ac:dyDescent="0.25">
      <c r="A58" s="42">
        <v>1</v>
      </c>
      <c r="B58" s="42" t="s">
        <v>71</v>
      </c>
      <c r="C58" s="236">
        <v>48</v>
      </c>
      <c r="D58" s="42">
        <v>0</v>
      </c>
      <c r="E58" s="302" t="s">
        <v>195</v>
      </c>
      <c r="F58" s="293">
        <v>41905</v>
      </c>
      <c r="G58" s="303">
        <f>27/C58</f>
        <v>0.5625</v>
      </c>
      <c r="H58" s="237" t="s">
        <v>68</v>
      </c>
      <c r="I58" s="236" t="s">
        <v>96</v>
      </c>
      <c r="J58" s="252">
        <f>K58*3.4528</f>
        <v>1331488.8400000001</v>
      </c>
      <c r="K58" s="304">
        <f>1331488.84/3.4528</f>
        <v>385625.82252085267</v>
      </c>
      <c r="L58" s="292">
        <v>41995</v>
      </c>
      <c r="M58" s="292">
        <v>42361</v>
      </c>
      <c r="N58" s="44" t="s">
        <v>68</v>
      </c>
      <c r="O58" s="42" t="s">
        <v>167</v>
      </c>
      <c r="P58" s="258">
        <v>41956</v>
      </c>
      <c r="Q58" s="125">
        <v>1881.01</v>
      </c>
      <c r="R58" s="259">
        <f>Q58/3.4528</f>
        <v>544.77815106580169</v>
      </c>
      <c r="S58" s="257">
        <v>42034</v>
      </c>
    </row>
    <row r="59" spans="1:19" x14ac:dyDescent="0.25">
      <c r="A59" s="42">
        <v>2</v>
      </c>
      <c r="B59" s="73" t="s">
        <v>79</v>
      </c>
      <c r="C59" s="144">
        <v>45</v>
      </c>
      <c r="D59" s="73">
        <v>4</v>
      </c>
      <c r="E59" s="144" t="s">
        <v>161</v>
      </c>
      <c r="F59" s="75">
        <v>42327</v>
      </c>
      <c r="G59" s="186">
        <f>36/C59</f>
        <v>0.8</v>
      </c>
      <c r="H59" s="74" t="s">
        <v>68</v>
      </c>
      <c r="I59" s="144" t="s">
        <v>378</v>
      </c>
      <c r="J59" s="145">
        <f t="shared" ref="J59:J64" si="4">K59*3.4528</f>
        <v>933423.73696000001</v>
      </c>
      <c r="K59" s="187">
        <v>270338.2</v>
      </c>
      <c r="L59" s="138">
        <v>42269</v>
      </c>
      <c r="M59" s="138">
        <v>42737</v>
      </c>
      <c r="N59" s="73" t="s">
        <v>68</v>
      </c>
      <c r="O59" s="73" t="s">
        <v>167</v>
      </c>
      <c r="P59" s="146">
        <v>41956</v>
      </c>
      <c r="Q59" s="85">
        <v>1881.01</v>
      </c>
      <c r="R59" s="112">
        <f>Q59/3.4528</f>
        <v>544.77815106580169</v>
      </c>
      <c r="S59" s="148">
        <v>42037</v>
      </c>
    </row>
    <row r="60" spans="1:19" x14ac:dyDescent="0.25">
      <c r="A60" s="42">
        <v>3</v>
      </c>
      <c r="B60" s="73" t="s">
        <v>87</v>
      </c>
      <c r="C60" s="144">
        <v>45</v>
      </c>
      <c r="D60" s="73">
        <v>1</v>
      </c>
      <c r="E60" s="190" t="s">
        <v>204</v>
      </c>
      <c r="F60" s="75">
        <v>41969</v>
      </c>
      <c r="G60" s="186">
        <f>25/C60</f>
        <v>0.55555555555555558</v>
      </c>
      <c r="H60" s="74" t="s">
        <v>68</v>
      </c>
      <c r="I60" s="144" t="s">
        <v>96</v>
      </c>
      <c r="J60" s="145">
        <f t="shared" si="4"/>
        <v>1096706.1310399999</v>
      </c>
      <c r="K60" s="187">
        <v>317628.05</v>
      </c>
      <c r="L60" s="188">
        <v>42087</v>
      </c>
      <c r="M60" s="188">
        <v>42607</v>
      </c>
      <c r="N60" s="102" t="s">
        <v>68</v>
      </c>
      <c r="O60" s="73" t="s">
        <v>167</v>
      </c>
      <c r="P60" s="146">
        <v>41991</v>
      </c>
      <c r="Q60" s="85">
        <v>1879.11</v>
      </c>
      <c r="R60" s="112">
        <f>Q60/3.4528</f>
        <v>544.22787303058385</v>
      </c>
      <c r="S60" s="148">
        <v>42132</v>
      </c>
    </row>
    <row r="61" spans="1:19" x14ac:dyDescent="0.25">
      <c r="A61" s="42">
        <v>4</v>
      </c>
      <c r="B61" s="73" t="s">
        <v>80</v>
      </c>
      <c r="C61" s="144">
        <v>30</v>
      </c>
      <c r="D61" s="73">
        <v>0</v>
      </c>
      <c r="E61" s="190" t="s">
        <v>196</v>
      </c>
      <c r="F61" s="75">
        <v>41905</v>
      </c>
      <c r="G61" s="186">
        <f>20/C61</f>
        <v>0.66666666666666663</v>
      </c>
      <c r="H61" s="74" t="s">
        <v>68</v>
      </c>
      <c r="I61" s="144" t="s">
        <v>377</v>
      </c>
      <c r="J61" s="145">
        <f t="shared" si="4"/>
        <v>668712.75327999995</v>
      </c>
      <c r="K61" s="187">
        <v>193672.6</v>
      </c>
      <c r="L61" s="138">
        <v>42264</v>
      </c>
      <c r="M61" s="138">
        <v>42720</v>
      </c>
      <c r="N61" s="73" t="s">
        <v>68</v>
      </c>
      <c r="O61" s="73" t="s">
        <v>167</v>
      </c>
      <c r="P61" s="146">
        <v>41956</v>
      </c>
      <c r="Q61" s="85">
        <v>1880.99</v>
      </c>
      <c r="R61" s="112">
        <f>Q61/3.4528</f>
        <v>544.77235866543094</v>
      </c>
      <c r="S61" s="148">
        <v>42034</v>
      </c>
    </row>
    <row r="62" spans="1:19" x14ac:dyDescent="0.25">
      <c r="A62" s="42">
        <v>5</v>
      </c>
      <c r="B62" s="42" t="s">
        <v>81</v>
      </c>
      <c r="C62" s="236">
        <v>75</v>
      </c>
      <c r="D62" s="42">
        <v>1</v>
      </c>
      <c r="E62" s="302" t="s">
        <v>200</v>
      </c>
      <c r="F62" s="253">
        <v>41906</v>
      </c>
      <c r="G62" s="303">
        <f>46/C62</f>
        <v>0.61333333333333329</v>
      </c>
      <c r="H62" s="237" t="s">
        <v>68</v>
      </c>
      <c r="I62" s="236" t="s">
        <v>96</v>
      </c>
      <c r="J62" s="252">
        <f t="shared" si="4"/>
        <v>2011245.0891519999</v>
      </c>
      <c r="K62" s="304">
        <v>582496.84</v>
      </c>
      <c r="L62" s="292">
        <v>42026</v>
      </c>
      <c r="M62" s="292">
        <v>42573</v>
      </c>
      <c r="N62" s="42" t="s">
        <v>68</v>
      </c>
      <c r="O62" s="73" t="s">
        <v>167</v>
      </c>
      <c r="P62" s="146">
        <v>41956</v>
      </c>
      <c r="Q62" s="85">
        <v>1880.99</v>
      </c>
      <c r="R62" s="85">
        <v>544.77</v>
      </c>
      <c r="S62" s="148">
        <v>42034</v>
      </c>
    </row>
    <row r="63" spans="1:19" x14ac:dyDescent="0.25">
      <c r="A63" s="42">
        <v>6</v>
      </c>
      <c r="B63" s="73" t="s">
        <v>82</v>
      </c>
      <c r="C63" s="144">
        <v>45</v>
      </c>
      <c r="D63" s="73">
        <v>0</v>
      </c>
      <c r="E63" s="144" t="s">
        <v>164</v>
      </c>
      <c r="F63" s="75">
        <v>42431</v>
      </c>
      <c r="G63" s="186">
        <f>31/45</f>
        <v>0.68888888888888888</v>
      </c>
      <c r="H63" s="74" t="s">
        <v>68</v>
      </c>
      <c r="I63" s="144" t="s">
        <v>96</v>
      </c>
      <c r="J63" s="145">
        <f t="shared" si="4"/>
        <v>956995.38105600001</v>
      </c>
      <c r="K63" s="187">
        <v>277165.02</v>
      </c>
      <c r="L63" s="138">
        <v>42513</v>
      </c>
      <c r="M63" s="138">
        <v>42948</v>
      </c>
      <c r="N63" s="73" t="s">
        <v>68</v>
      </c>
      <c r="O63" s="73" t="s">
        <v>167</v>
      </c>
      <c r="P63" s="146">
        <v>42464</v>
      </c>
      <c r="Q63" s="147">
        <f>R63*3.4528</f>
        <v>1880.9818559999999</v>
      </c>
      <c r="R63" s="47">
        <v>544.77</v>
      </c>
      <c r="S63" s="148">
        <v>42515</v>
      </c>
    </row>
    <row r="64" spans="1:19" x14ac:dyDescent="0.25">
      <c r="A64" s="42">
        <v>7</v>
      </c>
      <c r="B64" s="42" t="s">
        <v>83</v>
      </c>
      <c r="C64" s="236">
        <v>45</v>
      </c>
      <c r="D64" s="42">
        <v>3</v>
      </c>
      <c r="E64" s="236" t="s">
        <v>162</v>
      </c>
      <c r="F64" s="253">
        <v>41857</v>
      </c>
      <c r="G64" s="303">
        <f>29/C64</f>
        <v>0.64444444444444449</v>
      </c>
      <c r="H64" s="237" t="s">
        <v>68</v>
      </c>
      <c r="I64" s="236" t="s">
        <v>174</v>
      </c>
      <c r="J64" s="252">
        <f t="shared" si="4"/>
        <v>1100517.5388479999</v>
      </c>
      <c r="K64" s="304">
        <v>318731.90999999997</v>
      </c>
      <c r="L64" s="292">
        <v>42046</v>
      </c>
      <c r="M64" s="292">
        <v>42647</v>
      </c>
      <c r="N64" s="42" t="s">
        <v>68</v>
      </c>
      <c r="O64" s="42" t="s">
        <v>167</v>
      </c>
      <c r="P64" s="258">
        <v>41956</v>
      </c>
      <c r="Q64" s="125">
        <v>1881.01</v>
      </c>
      <c r="R64" s="125">
        <v>544.78</v>
      </c>
      <c r="S64" s="257">
        <v>42135</v>
      </c>
    </row>
    <row r="65" spans="1:19" x14ac:dyDescent="0.25">
      <c r="A65" s="42">
        <v>8</v>
      </c>
      <c r="B65" s="73" t="s">
        <v>85</v>
      </c>
      <c r="C65" s="144">
        <v>45</v>
      </c>
      <c r="D65" s="73">
        <v>0</v>
      </c>
      <c r="E65" s="144" t="s">
        <v>160</v>
      </c>
      <c r="F65" s="192">
        <v>42039</v>
      </c>
      <c r="G65" s="186">
        <f>27/C65</f>
        <v>0.6</v>
      </c>
      <c r="H65" s="164" t="s">
        <v>68</v>
      </c>
      <c r="I65" s="144" t="s">
        <v>235</v>
      </c>
      <c r="J65" s="145">
        <f t="shared" ref="J65:J74" si="5">K65*3.4528</f>
        <v>1359735.4284799998</v>
      </c>
      <c r="K65" s="187">
        <v>393806.6</v>
      </c>
      <c r="L65" s="189">
        <v>42136</v>
      </c>
      <c r="M65" s="189">
        <v>42669</v>
      </c>
      <c r="N65" s="77" t="s">
        <v>68</v>
      </c>
      <c r="O65" s="73" t="s">
        <v>167</v>
      </c>
      <c r="P65" s="146">
        <v>42270</v>
      </c>
      <c r="Q65" s="147">
        <f>R65*3.4528</f>
        <v>1880.9818559999999</v>
      </c>
      <c r="R65" s="160">
        <v>544.77</v>
      </c>
      <c r="S65" s="148">
        <v>42346</v>
      </c>
    </row>
    <row r="66" spans="1:19" x14ac:dyDescent="0.25">
      <c r="A66" s="42">
        <v>9</v>
      </c>
      <c r="B66" s="73" t="s">
        <v>86</v>
      </c>
      <c r="C66" s="144">
        <v>60</v>
      </c>
      <c r="D66" s="73">
        <v>4</v>
      </c>
      <c r="E66" s="190" t="s">
        <v>207</v>
      </c>
      <c r="F66" s="192">
        <v>42046</v>
      </c>
      <c r="G66" s="186">
        <f>35/C66</f>
        <v>0.58333333333333337</v>
      </c>
      <c r="H66" s="164" t="s">
        <v>68</v>
      </c>
      <c r="I66" s="144" t="s">
        <v>235</v>
      </c>
      <c r="J66" s="145">
        <f t="shared" si="5"/>
        <v>1571533.4606399999</v>
      </c>
      <c r="K66" s="187">
        <v>455147.55</v>
      </c>
      <c r="L66" s="189">
        <v>42209</v>
      </c>
      <c r="M66" s="189">
        <v>42717</v>
      </c>
      <c r="N66" s="77" t="s">
        <v>68</v>
      </c>
      <c r="O66" s="73" t="s">
        <v>167</v>
      </c>
      <c r="P66" s="146">
        <v>42270</v>
      </c>
      <c r="Q66" s="147">
        <f>R66*3.4528</f>
        <v>1879.0828160000001</v>
      </c>
      <c r="R66" s="160">
        <v>544.22</v>
      </c>
      <c r="S66" s="148">
        <v>42346</v>
      </c>
    </row>
    <row r="67" spans="1:19" x14ac:dyDescent="0.25">
      <c r="A67" s="42">
        <v>10</v>
      </c>
      <c r="B67" s="73" t="s">
        <v>88</v>
      </c>
      <c r="C67" s="144">
        <v>40</v>
      </c>
      <c r="D67" s="73">
        <v>7</v>
      </c>
      <c r="E67" s="190" t="s">
        <v>201</v>
      </c>
      <c r="F67" s="192">
        <v>41907</v>
      </c>
      <c r="G67" s="186">
        <f>24/C67</f>
        <v>0.6</v>
      </c>
      <c r="H67" s="164" t="s">
        <v>68</v>
      </c>
      <c r="I67" s="144" t="s">
        <v>230</v>
      </c>
      <c r="J67" s="145">
        <f t="shared" si="5"/>
        <v>1397231.9042239999</v>
      </c>
      <c r="K67" s="187">
        <v>404666.33</v>
      </c>
      <c r="L67" s="189">
        <v>42090</v>
      </c>
      <c r="M67" s="189">
        <v>42585</v>
      </c>
      <c r="N67" s="77" t="s">
        <v>68</v>
      </c>
      <c r="O67" s="73" t="s">
        <v>167</v>
      </c>
      <c r="P67" s="146">
        <v>41956</v>
      </c>
      <c r="Q67" s="85">
        <v>1880.99</v>
      </c>
      <c r="R67" s="112">
        <f>Q67/3.4528</f>
        <v>544.77235866543094</v>
      </c>
      <c r="S67" s="148">
        <v>42034</v>
      </c>
    </row>
    <row r="68" spans="1:19" x14ac:dyDescent="0.25">
      <c r="A68" s="42">
        <v>11</v>
      </c>
      <c r="B68" s="73" t="s">
        <v>92</v>
      </c>
      <c r="C68" s="144">
        <v>30</v>
      </c>
      <c r="D68" s="73">
        <v>1</v>
      </c>
      <c r="E68" s="193" t="s">
        <v>173</v>
      </c>
      <c r="F68" s="128">
        <v>42620</v>
      </c>
      <c r="G68" s="186">
        <f>18/C68</f>
        <v>0.6</v>
      </c>
      <c r="H68" s="73" t="s">
        <v>68</v>
      </c>
      <c r="I68" s="1" t="s">
        <v>78</v>
      </c>
      <c r="J68" s="145">
        <f t="shared" si="5"/>
        <v>717153.69348479994</v>
      </c>
      <c r="K68" s="395">
        <v>207702.06599999999</v>
      </c>
      <c r="L68" s="138">
        <v>42741</v>
      </c>
      <c r="M68" s="424">
        <v>43189</v>
      </c>
      <c r="N68" s="73" t="s">
        <v>68</v>
      </c>
      <c r="O68" s="73" t="s">
        <v>167</v>
      </c>
      <c r="P68" s="146">
        <v>42678</v>
      </c>
      <c r="Q68" s="85"/>
      <c r="R68" s="160">
        <v>544.77</v>
      </c>
      <c r="S68" s="148">
        <v>42725</v>
      </c>
    </row>
    <row r="69" spans="1:19" x14ac:dyDescent="0.25">
      <c r="A69" s="42">
        <v>12</v>
      </c>
      <c r="B69" s="73" t="s">
        <v>93</v>
      </c>
      <c r="C69" s="144">
        <v>40</v>
      </c>
      <c r="D69" s="73">
        <v>0</v>
      </c>
      <c r="E69" s="193" t="s">
        <v>208</v>
      </c>
      <c r="F69" s="128">
        <v>41942</v>
      </c>
      <c r="G69" s="186">
        <f>23/C69</f>
        <v>0.57499999999999996</v>
      </c>
      <c r="H69" s="73" t="s">
        <v>68</v>
      </c>
      <c r="I69" s="232" t="s">
        <v>424</v>
      </c>
      <c r="J69" s="145">
        <f t="shared" si="5"/>
        <v>755061.34246399999</v>
      </c>
      <c r="K69" s="187">
        <v>218680.88</v>
      </c>
      <c r="L69" s="138">
        <v>42543</v>
      </c>
      <c r="M69" s="138">
        <v>42747</v>
      </c>
      <c r="N69" s="73" t="s">
        <v>68</v>
      </c>
      <c r="O69" s="73" t="s">
        <v>167</v>
      </c>
      <c r="P69" s="146">
        <v>42270</v>
      </c>
      <c r="Q69" s="147">
        <f>R69*3.4528</f>
        <v>1879.0828160000001</v>
      </c>
      <c r="R69" s="160">
        <v>544.22</v>
      </c>
      <c r="S69" s="148">
        <v>42346</v>
      </c>
    </row>
    <row r="70" spans="1:19" x14ac:dyDescent="0.25">
      <c r="A70" s="42">
        <v>13</v>
      </c>
      <c r="B70" s="42" t="s">
        <v>393</v>
      </c>
      <c r="C70" s="236">
        <v>60</v>
      </c>
      <c r="D70" s="42">
        <v>2</v>
      </c>
      <c r="E70" s="343" t="s">
        <v>211</v>
      </c>
      <c r="F70" s="250">
        <v>41942</v>
      </c>
      <c r="G70" s="303">
        <f>36/C70</f>
        <v>0.6</v>
      </c>
      <c r="H70" s="42" t="s">
        <v>68</v>
      </c>
      <c r="I70" s="236" t="s">
        <v>228</v>
      </c>
      <c r="J70" s="252">
        <f t="shared" si="5"/>
        <v>1544917.1029759999</v>
      </c>
      <c r="K70" s="304">
        <v>447438.92</v>
      </c>
      <c r="L70" s="292">
        <v>42027</v>
      </c>
      <c r="M70" s="292">
        <v>42584</v>
      </c>
      <c r="N70" s="42" t="s">
        <v>68</v>
      </c>
      <c r="O70" s="42" t="s">
        <v>167</v>
      </c>
      <c r="P70" s="258">
        <v>41975</v>
      </c>
      <c r="Q70" s="125">
        <v>1878.62</v>
      </c>
      <c r="R70" s="259">
        <f>Q70/3.4528</f>
        <v>544.08595922150141</v>
      </c>
      <c r="S70" s="257">
        <v>42040</v>
      </c>
    </row>
    <row r="71" spans="1:19" x14ac:dyDescent="0.25">
      <c r="A71" s="42">
        <v>14</v>
      </c>
      <c r="B71" s="73" t="s">
        <v>382</v>
      </c>
      <c r="C71" s="144">
        <v>45</v>
      </c>
      <c r="D71" s="73">
        <v>0</v>
      </c>
      <c r="E71" s="73" t="s">
        <v>159</v>
      </c>
      <c r="F71" s="128">
        <v>41940</v>
      </c>
      <c r="G71" s="186">
        <f>26/C71</f>
        <v>0.57777777777777772</v>
      </c>
      <c r="H71" s="73" t="s">
        <v>68</v>
      </c>
      <c r="I71" s="144" t="s">
        <v>378</v>
      </c>
      <c r="J71" s="145">
        <f t="shared" si="5"/>
        <v>940179.38185600005</v>
      </c>
      <c r="K71" s="187">
        <v>272294.77</v>
      </c>
      <c r="L71" s="138">
        <v>42270</v>
      </c>
      <c r="M71" s="138">
        <v>42737</v>
      </c>
      <c r="N71" s="73" t="s">
        <v>68</v>
      </c>
      <c r="O71" s="73" t="s">
        <v>167</v>
      </c>
      <c r="P71" s="146">
        <v>42037</v>
      </c>
      <c r="Q71" s="85">
        <v>2473.64</v>
      </c>
      <c r="R71" s="112">
        <f>Q71/3.4528</f>
        <v>716.41566265060237</v>
      </c>
      <c r="S71" s="148">
        <v>42117</v>
      </c>
    </row>
    <row r="72" spans="1:19" x14ac:dyDescent="0.25">
      <c r="A72" s="42">
        <v>15</v>
      </c>
      <c r="B72" s="73" t="s">
        <v>394</v>
      </c>
      <c r="C72" s="144">
        <v>45</v>
      </c>
      <c r="D72" s="73">
        <v>1</v>
      </c>
      <c r="E72" s="190" t="s">
        <v>210</v>
      </c>
      <c r="F72" s="75">
        <v>41940</v>
      </c>
      <c r="G72" s="186">
        <f>28/C72</f>
        <v>0.62222222222222223</v>
      </c>
      <c r="H72" s="74" t="s">
        <v>68</v>
      </c>
      <c r="I72" s="144" t="s">
        <v>227</v>
      </c>
      <c r="J72" s="145">
        <f t="shared" si="5"/>
        <v>1108100.2329279999</v>
      </c>
      <c r="K72" s="187">
        <v>320928.01</v>
      </c>
      <c r="L72" s="138">
        <v>42076</v>
      </c>
      <c r="M72" s="138">
        <v>42720</v>
      </c>
      <c r="N72" s="73" t="s">
        <v>68</v>
      </c>
      <c r="O72" s="73" t="s">
        <v>167</v>
      </c>
      <c r="P72" s="146">
        <v>41975</v>
      </c>
      <c r="Q72" s="85">
        <v>1879.35</v>
      </c>
      <c r="R72" s="112">
        <f>Q72/3.4528</f>
        <v>544.29738183503241</v>
      </c>
      <c r="S72" s="148">
        <v>42040</v>
      </c>
    </row>
    <row r="73" spans="1:19" x14ac:dyDescent="0.25">
      <c r="A73" s="42">
        <v>16</v>
      </c>
      <c r="B73" s="73" t="s">
        <v>395</v>
      </c>
      <c r="C73" s="144">
        <v>40</v>
      </c>
      <c r="D73" s="73">
        <v>1</v>
      </c>
      <c r="E73" s="190" t="s">
        <v>209</v>
      </c>
      <c r="F73" s="75">
        <v>42620</v>
      </c>
      <c r="G73" s="186">
        <f>24/C73</f>
        <v>0.6</v>
      </c>
      <c r="H73" s="89" t="s">
        <v>68</v>
      </c>
      <c r="I73" s="232" t="s">
        <v>424</v>
      </c>
      <c r="J73" s="145">
        <f t="shared" si="5"/>
        <v>757593.14259200008</v>
      </c>
      <c r="K73" s="395">
        <v>219414.14</v>
      </c>
      <c r="L73" s="138">
        <v>42712</v>
      </c>
      <c r="M73" s="138">
        <v>43082</v>
      </c>
      <c r="N73" s="73" t="s">
        <v>68</v>
      </c>
      <c r="O73" s="73" t="s">
        <v>167</v>
      </c>
      <c r="P73" s="146">
        <v>42678</v>
      </c>
      <c r="Q73" s="85">
        <v>1879.35</v>
      </c>
      <c r="R73" s="160">
        <v>544.29</v>
      </c>
      <c r="S73" s="148">
        <v>42725</v>
      </c>
    </row>
    <row r="74" spans="1:19" ht="15.75" thickBot="1" x14ac:dyDescent="0.3">
      <c r="A74" s="43">
        <v>17</v>
      </c>
      <c r="B74" s="43" t="s">
        <v>404</v>
      </c>
      <c r="C74" s="239">
        <v>75</v>
      </c>
      <c r="D74" s="43">
        <v>2</v>
      </c>
      <c r="E74" s="398" t="s">
        <v>199</v>
      </c>
      <c r="F74" s="268">
        <v>41906</v>
      </c>
      <c r="G74" s="399">
        <f>45/C74</f>
        <v>0.6</v>
      </c>
      <c r="H74" s="240" t="s">
        <v>68</v>
      </c>
      <c r="I74" s="239" t="s">
        <v>96</v>
      </c>
      <c r="J74" s="400">
        <f t="shared" si="5"/>
        <v>1987426.5698559999</v>
      </c>
      <c r="K74" s="401">
        <v>575598.52</v>
      </c>
      <c r="L74" s="265">
        <v>42026</v>
      </c>
      <c r="M74" s="265">
        <v>42573</v>
      </c>
      <c r="N74" s="43" t="s">
        <v>68</v>
      </c>
      <c r="O74" s="167" t="s">
        <v>167</v>
      </c>
      <c r="P74" s="172">
        <v>41956</v>
      </c>
      <c r="Q74" s="185">
        <v>1880.99</v>
      </c>
      <c r="R74" s="173">
        <f>Q74/3.4528</f>
        <v>544.77235866543094</v>
      </c>
      <c r="S74" s="174">
        <v>42034</v>
      </c>
    </row>
    <row r="75" spans="1:19" x14ac:dyDescent="0.25">
      <c r="A75" s="47"/>
      <c r="B75" s="47" t="s">
        <v>110</v>
      </c>
      <c r="C75" s="2">
        <f>SUM(C58:C74)</f>
        <v>813</v>
      </c>
      <c r="D75" s="2">
        <f>SUM(D58:D74)</f>
        <v>27</v>
      </c>
      <c r="E75" s="65"/>
      <c r="F75" s="64"/>
      <c r="G75" s="1">
        <f>COUNTIF(G58:G74,"&gt;0,5")</f>
        <v>17</v>
      </c>
      <c r="H75" s="1">
        <f>COUNTIF(H58:H74,"Taip")</f>
        <v>17</v>
      </c>
      <c r="I75" s="1">
        <f>COUNTA(I58:I74)</f>
        <v>17</v>
      </c>
      <c r="J75" s="52">
        <f>SUM(J58:J74)</f>
        <v>20238021.729836799</v>
      </c>
      <c r="K75" s="52">
        <f>SUM(K58:K74)</f>
        <v>5861336.2285208534</v>
      </c>
      <c r="L75" s="1">
        <f>COUNTA(L58:L74)</f>
        <v>17</v>
      </c>
      <c r="M75" s="1">
        <f>COUNTA(M58:M74)</f>
        <v>17</v>
      </c>
      <c r="N75" s="1">
        <f>COUNTA(N58:N74)</f>
        <v>17</v>
      </c>
      <c r="O75" s="1"/>
      <c r="P75" s="1"/>
      <c r="Q75" s="1"/>
      <c r="R75" s="1"/>
      <c r="S75" s="1"/>
    </row>
    <row r="76" spans="1:19" ht="16.5" thickBot="1" x14ac:dyDescent="0.3">
      <c r="B76" s="100" t="s">
        <v>234</v>
      </c>
      <c r="P76" s="1"/>
      <c r="Q76" s="1"/>
      <c r="R76" s="1"/>
      <c r="S76" s="1"/>
    </row>
    <row r="77" spans="1:19" ht="45.75" customHeight="1" thickBot="1" x14ac:dyDescent="0.3">
      <c r="A77" s="36" t="s">
        <v>0</v>
      </c>
      <c r="B77" s="37" t="s">
        <v>1</v>
      </c>
      <c r="C77" s="53" t="s">
        <v>94</v>
      </c>
      <c r="D77" s="53" t="s">
        <v>95</v>
      </c>
      <c r="E77" s="53" t="s">
        <v>102</v>
      </c>
      <c r="F77" s="53" t="s">
        <v>2</v>
      </c>
      <c r="G77" s="53" t="s">
        <v>69</v>
      </c>
      <c r="H77" s="53" t="s">
        <v>3</v>
      </c>
      <c r="I77" s="53" t="s">
        <v>73</v>
      </c>
      <c r="J77" s="53" t="s">
        <v>226</v>
      </c>
      <c r="K77" s="53" t="s">
        <v>225</v>
      </c>
      <c r="L77" s="53" t="s">
        <v>108</v>
      </c>
      <c r="M77" s="53" t="s">
        <v>243</v>
      </c>
      <c r="N77" s="366" t="s">
        <v>381</v>
      </c>
      <c r="O77" s="53" t="s">
        <v>109</v>
      </c>
      <c r="P77" s="53" t="s">
        <v>170</v>
      </c>
      <c r="Q77" s="53" t="s">
        <v>223</v>
      </c>
      <c r="R77" s="53" t="s">
        <v>247</v>
      </c>
      <c r="S77" s="53" t="s">
        <v>486</v>
      </c>
    </row>
    <row r="78" spans="1:19" x14ac:dyDescent="0.25">
      <c r="A78" s="41">
        <v>1</v>
      </c>
      <c r="B78" s="124" t="s">
        <v>103</v>
      </c>
      <c r="C78" s="153">
        <v>45</v>
      </c>
      <c r="D78" s="153">
        <v>0</v>
      </c>
      <c r="E78" s="103" t="s">
        <v>213</v>
      </c>
      <c r="F78" s="201">
        <v>42170</v>
      </c>
      <c r="G78" s="196">
        <f>29/C78</f>
        <v>0.64444444444444449</v>
      </c>
      <c r="H78" s="50" t="s">
        <v>68</v>
      </c>
      <c r="I78" s="103" t="s">
        <v>228</v>
      </c>
      <c r="J78" s="281">
        <f>K78*3.4528</f>
        <v>1518373.2886399999</v>
      </c>
      <c r="K78" s="414">
        <v>439751.3</v>
      </c>
      <c r="L78" s="201">
        <v>42436</v>
      </c>
      <c r="M78" s="408">
        <v>42870</v>
      </c>
      <c r="N78" s="124" t="s">
        <v>68</v>
      </c>
      <c r="O78" s="9" t="s">
        <v>167</v>
      </c>
      <c r="P78" s="353">
        <v>42271</v>
      </c>
      <c r="Q78" s="59">
        <f>R78*3.4528</f>
        <v>2002.209664</v>
      </c>
      <c r="R78" s="59">
        <v>579.88</v>
      </c>
      <c r="S78" s="245">
        <v>42346</v>
      </c>
    </row>
    <row r="79" spans="1:19" x14ac:dyDescent="0.25">
      <c r="A79" s="44">
        <v>2</v>
      </c>
      <c r="B79" s="73" t="s">
        <v>105</v>
      </c>
      <c r="C79" s="144">
        <v>54</v>
      </c>
      <c r="D79" s="144">
        <v>0</v>
      </c>
      <c r="E79" s="73" t="s">
        <v>216</v>
      </c>
      <c r="F79" s="128">
        <v>42627</v>
      </c>
      <c r="G79" s="186">
        <f>34/C79</f>
        <v>0.62962962962962965</v>
      </c>
      <c r="H79" s="164" t="s">
        <v>68</v>
      </c>
      <c r="I79" s="152" t="s">
        <v>228</v>
      </c>
      <c r="J79" s="145">
        <f>K79*3.4528</f>
        <v>1301705.5999999999</v>
      </c>
      <c r="K79" s="415">
        <v>377000</v>
      </c>
      <c r="L79" s="75">
        <v>42718</v>
      </c>
      <c r="M79" s="138">
        <v>43082</v>
      </c>
      <c r="N79" s="89" t="s">
        <v>68</v>
      </c>
      <c r="O79" s="115" t="s">
        <v>167</v>
      </c>
      <c r="P79" s="76">
        <v>42678</v>
      </c>
      <c r="Q79" s="367">
        <f>3.4528*R79</f>
        <v>2002.209664</v>
      </c>
      <c r="R79" s="109">
        <v>579.88</v>
      </c>
      <c r="S79" s="229">
        <v>42725</v>
      </c>
    </row>
    <row r="80" spans="1:19" x14ac:dyDescent="0.25">
      <c r="A80" s="42">
        <v>3</v>
      </c>
      <c r="B80" s="127" t="s">
        <v>218</v>
      </c>
      <c r="C80" s="152">
        <v>60</v>
      </c>
      <c r="D80" s="152">
        <v>3</v>
      </c>
      <c r="E80" s="102" t="s">
        <v>237</v>
      </c>
      <c r="F80" s="142">
        <v>42332</v>
      </c>
      <c r="G80" s="199">
        <f>38/C80</f>
        <v>0.6333333333333333</v>
      </c>
      <c r="H80" s="8" t="s">
        <v>68</v>
      </c>
      <c r="I80" s="232" t="s">
        <v>424</v>
      </c>
      <c r="J80" s="145">
        <f>K80*3.4528</f>
        <v>1030400.8732159999</v>
      </c>
      <c r="K80" s="415">
        <v>298424.71999999997</v>
      </c>
      <c r="L80" s="287">
        <v>42433</v>
      </c>
      <c r="M80" s="188">
        <v>42949</v>
      </c>
      <c r="N80" s="127" t="s">
        <v>68</v>
      </c>
      <c r="O80" s="115" t="s">
        <v>167</v>
      </c>
      <c r="P80" s="140">
        <v>42271</v>
      </c>
      <c r="Q80" s="61">
        <f>3.4528*R80</f>
        <v>1984.358688</v>
      </c>
      <c r="R80" s="116">
        <v>574.71</v>
      </c>
      <c r="S80" s="246">
        <v>42346</v>
      </c>
    </row>
    <row r="81" spans="1:21" x14ac:dyDescent="0.25">
      <c r="A81" s="44">
        <v>4</v>
      </c>
      <c r="B81" s="127" t="s">
        <v>220</v>
      </c>
      <c r="C81" s="144">
        <v>5</v>
      </c>
      <c r="D81" s="144">
        <v>5</v>
      </c>
      <c r="E81" s="73" t="s">
        <v>238</v>
      </c>
      <c r="F81" s="128">
        <v>42628</v>
      </c>
      <c r="G81" s="199">
        <f>5/C81</f>
        <v>1</v>
      </c>
      <c r="H81" s="5" t="s">
        <v>68</v>
      </c>
      <c r="I81" s="232" t="s">
        <v>96</v>
      </c>
      <c r="J81" s="403">
        <v>339520.25</v>
      </c>
      <c r="K81" s="416">
        <v>98331.86</v>
      </c>
      <c r="L81" s="264">
        <v>42789</v>
      </c>
      <c r="M81" s="424">
        <v>43164</v>
      </c>
      <c r="N81" s="89" t="s">
        <v>68</v>
      </c>
      <c r="O81" s="115" t="s">
        <v>167</v>
      </c>
      <c r="P81" s="76">
        <v>42681</v>
      </c>
      <c r="Q81" s="367">
        <f>3.4528*R81</f>
        <v>1984.358688</v>
      </c>
      <c r="R81" s="109">
        <v>574.71</v>
      </c>
      <c r="S81" s="229">
        <v>42725</v>
      </c>
    </row>
    <row r="82" spans="1:21" x14ac:dyDescent="0.25">
      <c r="A82" s="42">
        <v>5</v>
      </c>
      <c r="B82" s="197" t="s">
        <v>221</v>
      </c>
      <c r="C82" s="198">
        <v>5</v>
      </c>
      <c r="D82" s="198">
        <v>5</v>
      </c>
      <c r="E82" s="77" t="s">
        <v>240</v>
      </c>
      <c r="F82" s="162">
        <v>42180</v>
      </c>
      <c r="G82" s="199">
        <f>5/C82</f>
        <v>1</v>
      </c>
      <c r="H82" s="8" t="s">
        <v>68</v>
      </c>
      <c r="I82" s="144" t="s">
        <v>463</v>
      </c>
      <c r="J82" s="145">
        <f>K82*3.4528</f>
        <v>362970.89866751997</v>
      </c>
      <c r="K82" s="415">
        <v>105123.6384</v>
      </c>
      <c r="L82" s="290">
        <v>42524</v>
      </c>
      <c r="M82" s="189">
        <v>43098</v>
      </c>
      <c r="N82" s="209" t="s">
        <v>68</v>
      </c>
      <c r="O82" s="115" t="s">
        <v>167</v>
      </c>
      <c r="P82" s="139">
        <v>42271</v>
      </c>
      <c r="Q82" s="368">
        <f>3.4528*R82</f>
        <v>1984.358688</v>
      </c>
      <c r="R82" s="111">
        <v>574.71</v>
      </c>
      <c r="S82" s="230">
        <v>42317</v>
      </c>
    </row>
    <row r="83" spans="1:21" x14ac:dyDescent="0.25">
      <c r="A83" s="44">
        <v>6</v>
      </c>
      <c r="B83" s="73" t="s">
        <v>217</v>
      </c>
      <c r="C83" s="144">
        <v>60</v>
      </c>
      <c r="D83" s="144">
        <v>2</v>
      </c>
      <c r="E83" s="73" t="s">
        <v>236</v>
      </c>
      <c r="F83" s="128">
        <v>42156</v>
      </c>
      <c r="G83" s="186">
        <f>34/C83</f>
        <v>0.56666666666666665</v>
      </c>
      <c r="H83" s="3" t="s">
        <v>68</v>
      </c>
      <c r="I83" s="232" t="s">
        <v>424</v>
      </c>
      <c r="J83" s="145">
        <f>K83*3.4528</f>
        <v>1173798.5230399999</v>
      </c>
      <c r="K83" s="415">
        <v>339955.55</v>
      </c>
      <c r="L83" s="264">
        <v>42424</v>
      </c>
      <c r="M83" s="138">
        <v>42949</v>
      </c>
      <c r="N83" s="89" t="s">
        <v>68</v>
      </c>
      <c r="O83" s="115" t="s">
        <v>167</v>
      </c>
      <c r="P83" s="76">
        <v>42271</v>
      </c>
      <c r="Q83" s="61">
        <f>3.4528*R83</f>
        <v>1984.358688</v>
      </c>
      <c r="R83" s="109">
        <v>574.71</v>
      </c>
      <c r="S83" s="229">
        <v>42317</v>
      </c>
    </row>
    <row r="84" spans="1:21" x14ac:dyDescent="0.25">
      <c r="A84" s="42">
        <v>7</v>
      </c>
      <c r="B84" s="89" t="s">
        <v>387</v>
      </c>
      <c r="C84" s="115">
        <v>60</v>
      </c>
      <c r="D84" s="126">
        <v>0</v>
      </c>
      <c r="E84" s="3" t="s">
        <v>500</v>
      </c>
      <c r="F84" s="264">
        <v>42844</v>
      </c>
      <c r="G84" s="186">
        <f>44/C84</f>
        <v>0.73333333333333328</v>
      </c>
      <c r="H84" s="5" t="s">
        <v>68</v>
      </c>
      <c r="I84" s="232" t="s">
        <v>235</v>
      </c>
      <c r="J84" s="3">
        <f>K84*3.4528</f>
        <v>1498587.5361599999</v>
      </c>
      <c r="K84" s="417">
        <v>434020.95</v>
      </c>
      <c r="L84" s="264">
        <v>42927</v>
      </c>
      <c r="M84" s="138">
        <v>43454</v>
      </c>
      <c r="N84" s="447" t="s">
        <v>68</v>
      </c>
      <c r="O84" s="115" t="s">
        <v>376</v>
      </c>
      <c r="P84" s="135"/>
      <c r="Q84" s="125"/>
      <c r="R84" s="136"/>
      <c r="S84" s="137"/>
    </row>
    <row r="85" spans="1:21" x14ac:dyDescent="0.25">
      <c r="A85" s="44">
        <v>8</v>
      </c>
      <c r="B85" s="89" t="s">
        <v>246</v>
      </c>
      <c r="C85" s="3">
        <v>60</v>
      </c>
      <c r="D85" s="5">
        <v>2</v>
      </c>
      <c r="E85" s="3" t="s">
        <v>499</v>
      </c>
      <c r="F85" s="264">
        <v>42845</v>
      </c>
      <c r="G85" s="186">
        <f>45/C85</f>
        <v>0.75</v>
      </c>
      <c r="H85" s="5" t="s">
        <v>68</v>
      </c>
      <c r="I85" s="232" t="s">
        <v>78</v>
      </c>
      <c r="J85" s="3">
        <f t="shared" ref="J85:J90" si="6">K85*3.4528</f>
        <v>986414.41100799991</v>
      </c>
      <c r="K85" s="417">
        <v>285685.36</v>
      </c>
      <c r="L85" s="264">
        <v>42921</v>
      </c>
      <c r="M85" s="424">
        <v>43545</v>
      </c>
      <c r="N85" s="447" t="s">
        <v>68</v>
      </c>
      <c r="O85" s="115" t="s">
        <v>376</v>
      </c>
      <c r="P85" s="135"/>
      <c r="Q85" s="125"/>
      <c r="R85" s="136"/>
      <c r="S85" s="137"/>
    </row>
    <row r="86" spans="1:21" x14ac:dyDescent="0.25">
      <c r="A86" s="42">
        <v>9</v>
      </c>
      <c r="B86" s="89" t="s">
        <v>248</v>
      </c>
      <c r="C86" s="3">
        <v>60</v>
      </c>
      <c r="D86" s="5">
        <v>3</v>
      </c>
      <c r="E86" s="115" t="s">
        <v>498</v>
      </c>
      <c r="F86" s="287">
        <v>42849</v>
      </c>
      <c r="G86" s="186">
        <f>41/C86</f>
        <v>0.68333333333333335</v>
      </c>
      <c r="H86" s="126" t="s">
        <v>68</v>
      </c>
      <c r="I86" s="280" t="s">
        <v>224</v>
      </c>
      <c r="J86" s="3">
        <f t="shared" si="6"/>
        <v>1040853.948992</v>
      </c>
      <c r="K86" s="418">
        <v>301452.14</v>
      </c>
      <c r="L86" s="287">
        <v>42916</v>
      </c>
      <c r="M86" s="442">
        <v>43516</v>
      </c>
      <c r="N86" s="447" t="s">
        <v>68</v>
      </c>
      <c r="O86" s="115" t="s">
        <v>376</v>
      </c>
      <c r="P86" s="131"/>
      <c r="Q86" s="132"/>
      <c r="R86" s="133"/>
      <c r="S86" s="134"/>
    </row>
    <row r="87" spans="1:21" x14ac:dyDescent="0.25">
      <c r="A87" s="44">
        <v>10</v>
      </c>
      <c r="B87" s="47" t="s">
        <v>487</v>
      </c>
      <c r="C87" s="3">
        <v>60</v>
      </c>
      <c r="D87" s="233">
        <v>2</v>
      </c>
      <c r="E87" s="1" t="s">
        <v>497</v>
      </c>
      <c r="F87" s="402">
        <v>42849</v>
      </c>
      <c r="G87" s="186">
        <f>41/C87</f>
        <v>0.68333333333333335</v>
      </c>
      <c r="H87" s="233" t="s">
        <v>68</v>
      </c>
      <c r="I87" s="1" t="s">
        <v>78</v>
      </c>
      <c r="J87" s="3">
        <f t="shared" si="6"/>
        <v>1162326.871264</v>
      </c>
      <c r="K87" s="419">
        <v>336633.13</v>
      </c>
      <c r="L87" s="64">
        <v>42915</v>
      </c>
      <c r="M87" s="443">
        <v>43508</v>
      </c>
      <c r="N87" s="448" t="s">
        <v>68</v>
      </c>
      <c r="O87" s="3" t="s">
        <v>376</v>
      </c>
      <c r="P87" s="235"/>
      <c r="Q87" s="273"/>
      <c r="R87" s="273"/>
      <c r="S87" s="274"/>
    </row>
    <row r="88" spans="1:21" x14ac:dyDescent="0.25">
      <c r="A88" s="42">
        <v>11</v>
      </c>
      <c r="B88" s="74" t="s">
        <v>488</v>
      </c>
      <c r="C88" s="144">
        <v>45</v>
      </c>
      <c r="D88" s="3">
        <v>0</v>
      </c>
      <c r="E88" s="3" t="s">
        <v>501</v>
      </c>
      <c r="F88" s="264">
        <v>42844</v>
      </c>
      <c r="G88" s="186">
        <f>28/C88</f>
        <v>0.62222222222222223</v>
      </c>
      <c r="H88" s="5" t="s">
        <v>68</v>
      </c>
      <c r="I88" s="430" t="s">
        <v>224</v>
      </c>
      <c r="J88" s="3">
        <f t="shared" si="6"/>
        <v>960400.35977599991</v>
      </c>
      <c r="K88" s="420">
        <v>278151.17</v>
      </c>
      <c r="L88" s="264">
        <v>42919</v>
      </c>
      <c r="M88" s="424">
        <v>43479</v>
      </c>
      <c r="N88" s="449" t="s">
        <v>68</v>
      </c>
      <c r="O88" s="3" t="s">
        <v>376</v>
      </c>
      <c r="P88" s="236"/>
      <c r="Q88" s="125"/>
      <c r="R88" s="125"/>
      <c r="S88" s="238"/>
    </row>
    <row r="89" spans="1:21" ht="26.25" x14ac:dyDescent="0.25">
      <c r="A89" s="44">
        <v>12</v>
      </c>
      <c r="B89" s="197" t="s">
        <v>489</v>
      </c>
      <c r="C89" s="47">
        <v>45</v>
      </c>
      <c r="D89" s="233">
        <v>1</v>
      </c>
      <c r="E89" s="233" t="s">
        <v>495</v>
      </c>
      <c r="F89" s="264">
        <v>42850</v>
      </c>
      <c r="G89" s="186">
        <f>35/C89</f>
        <v>0.77777777777777779</v>
      </c>
      <c r="H89" s="47" t="s">
        <v>68</v>
      </c>
      <c r="I89" s="431" t="s">
        <v>513</v>
      </c>
      <c r="J89" s="3">
        <f t="shared" si="6"/>
        <v>877669.68348799995</v>
      </c>
      <c r="K89" s="421">
        <v>254190.71</v>
      </c>
      <c r="L89" s="64">
        <v>42930</v>
      </c>
      <c r="M89" s="443">
        <v>43098</v>
      </c>
      <c r="N89" s="396" t="s">
        <v>68</v>
      </c>
      <c r="O89" s="115" t="s">
        <v>77</v>
      </c>
      <c r="P89" s="235"/>
      <c r="Q89" s="286"/>
      <c r="R89" s="286"/>
      <c r="S89" s="283"/>
    </row>
    <row r="90" spans="1:21" ht="15.75" thickBot="1" x14ac:dyDescent="0.3">
      <c r="A90" s="43">
        <v>13</v>
      </c>
      <c r="B90" s="168" t="s">
        <v>490</v>
      </c>
      <c r="C90" s="179">
        <v>60</v>
      </c>
      <c r="D90" s="4">
        <v>3</v>
      </c>
      <c r="E90" s="4" t="s">
        <v>496</v>
      </c>
      <c r="F90" s="354">
        <v>42845</v>
      </c>
      <c r="G90" s="186">
        <f>44/C90</f>
        <v>0.73333333333333328</v>
      </c>
      <c r="H90" s="6" t="s">
        <v>68</v>
      </c>
      <c r="I90" s="432" t="s">
        <v>78</v>
      </c>
      <c r="J90" s="3">
        <f t="shared" si="6"/>
        <v>1076927.4913280001</v>
      </c>
      <c r="K90" s="422">
        <v>311899.76</v>
      </c>
      <c r="L90" s="354">
        <v>42930</v>
      </c>
      <c r="M90" s="444">
        <v>43545</v>
      </c>
      <c r="N90" s="397" t="s">
        <v>68</v>
      </c>
      <c r="O90" s="4" t="s">
        <v>376</v>
      </c>
      <c r="P90" s="239"/>
      <c r="Q90" s="327"/>
      <c r="R90" s="327"/>
      <c r="S90" s="355"/>
    </row>
    <row r="91" spans="1:21" ht="16.5" thickBot="1" x14ac:dyDescent="0.3">
      <c r="A91" s="119"/>
      <c r="B91" s="434" t="s">
        <v>539</v>
      </c>
      <c r="C91" s="282"/>
      <c r="D91" s="47"/>
      <c r="E91" s="203"/>
      <c r="F91" s="54"/>
      <c r="G91" s="1">
        <f>COUNTIF(G78:G90,"&gt;0,5")</f>
        <v>13</v>
      </c>
      <c r="H91" s="1"/>
      <c r="I91" s="105"/>
      <c r="J91" s="356"/>
      <c r="K91" s="356"/>
      <c r="L91" s="64"/>
      <c r="M91" s="233"/>
      <c r="N91" s="1"/>
      <c r="O91" s="233"/>
      <c r="P91" s="141"/>
      <c r="Q91" s="299"/>
      <c r="R91" s="357"/>
      <c r="S91" s="358"/>
    </row>
    <row r="92" spans="1:21" x14ac:dyDescent="0.25">
      <c r="A92" s="41">
        <v>14</v>
      </c>
      <c r="B92" s="124" t="s">
        <v>245</v>
      </c>
      <c r="C92" s="9">
        <v>45</v>
      </c>
      <c r="D92" s="359">
        <v>1</v>
      </c>
      <c r="E92" s="9" t="s">
        <v>612</v>
      </c>
      <c r="F92" s="359"/>
      <c r="G92" s="186">
        <f>29/C92</f>
        <v>0.64444444444444449</v>
      </c>
      <c r="H92" s="359" t="s">
        <v>68</v>
      </c>
      <c r="I92" s="425" t="s">
        <v>224</v>
      </c>
      <c r="J92" s="9"/>
      <c r="K92" s="412">
        <v>286307.78000000003</v>
      </c>
      <c r="L92" s="410">
        <v>43152</v>
      </c>
      <c r="M92" s="459">
        <v>43809</v>
      </c>
      <c r="N92" s="460" t="s">
        <v>68</v>
      </c>
      <c r="O92" s="9" t="s">
        <v>376</v>
      </c>
      <c r="P92" s="360"/>
      <c r="Q92" s="361"/>
      <c r="R92" s="362"/>
      <c r="S92" s="363"/>
      <c r="T92" s="2" t="s">
        <v>514</v>
      </c>
    </row>
    <row r="93" spans="1:21" x14ac:dyDescent="0.25">
      <c r="A93" s="42">
        <v>15</v>
      </c>
      <c r="B93" s="89" t="s">
        <v>249</v>
      </c>
      <c r="C93" s="3">
        <v>40</v>
      </c>
      <c r="D93" s="5">
        <v>0</v>
      </c>
      <c r="E93" s="3" t="s">
        <v>609</v>
      </c>
      <c r="F93" s="5"/>
      <c r="G93" s="186">
        <f>26/C93</f>
        <v>0.65</v>
      </c>
      <c r="H93" s="5" t="s">
        <v>68</v>
      </c>
      <c r="I93" s="338" t="s">
        <v>235</v>
      </c>
      <c r="J93" s="3"/>
      <c r="K93" s="413">
        <v>312280.43</v>
      </c>
      <c r="L93" s="264">
        <v>43150</v>
      </c>
      <c r="M93" s="424">
        <v>43826</v>
      </c>
      <c r="N93" s="447" t="s">
        <v>68</v>
      </c>
      <c r="O93" s="115" t="s">
        <v>376</v>
      </c>
      <c r="P93" s="135"/>
      <c r="Q93" s="125"/>
      <c r="R93" s="136"/>
      <c r="S93" s="137"/>
    </row>
    <row r="94" spans="1:21" x14ac:dyDescent="0.25">
      <c r="A94" s="42">
        <v>16</v>
      </c>
      <c r="B94" s="89" t="s">
        <v>375</v>
      </c>
      <c r="C94" s="3">
        <v>8</v>
      </c>
      <c r="D94" s="5">
        <v>0</v>
      </c>
      <c r="E94" s="3" t="s">
        <v>583</v>
      </c>
      <c r="F94" s="5"/>
      <c r="G94" s="186"/>
      <c r="H94" s="5"/>
      <c r="I94" s="232"/>
      <c r="J94" s="3"/>
      <c r="K94" s="130"/>
      <c r="L94" s="5"/>
      <c r="M94" s="336"/>
      <c r="N94" s="308"/>
      <c r="O94" s="3" t="s">
        <v>376</v>
      </c>
      <c r="P94" s="236"/>
      <c r="Q94" s="125"/>
      <c r="R94" s="237"/>
      <c r="S94" s="137"/>
    </row>
    <row r="95" spans="1:21" x14ac:dyDescent="0.25">
      <c r="A95" s="42">
        <v>17</v>
      </c>
      <c r="B95" s="365" t="s">
        <v>421</v>
      </c>
      <c r="C95" s="115">
        <v>45</v>
      </c>
      <c r="D95" s="115">
        <v>0</v>
      </c>
      <c r="E95" s="126" t="s">
        <v>615</v>
      </c>
      <c r="F95" s="409">
        <v>43062</v>
      </c>
      <c r="G95" s="186">
        <f>30/C95</f>
        <v>0.66666666666666663</v>
      </c>
      <c r="H95" s="115" t="s">
        <v>68</v>
      </c>
      <c r="I95" s="426" t="s">
        <v>224</v>
      </c>
      <c r="J95" s="115"/>
      <c r="K95" s="423">
        <v>334038.65000000002</v>
      </c>
      <c r="L95" s="287">
        <v>43146</v>
      </c>
      <c r="M95" s="442">
        <v>43748</v>
      </c>
      <c r="N95" s="325" t="s">
        <v>68</v>
      </c>
      <c r="O95" s="233" t="s">
        <v>376</v>
      </c>
      <c r="P95" s="276"/>
      <c r="Q95" s="133"/>
      <c r="R95" s="133"/>
      <c r="S95" s="134"/>
    </row>
    <row r="96" spans="1:21" x14ac:dyDescent="0.25">
      <c r="A96" s="42">
        <v>18</v>
      </c>
      <c r="B96" s="429" t="s">
        <v>406</v>
      </c>
      <c r="C96" s="3">
        <v>45</v>
      </c>
      <c r="D96" s="3">
        <v>0</v>
      </c>
      <c r="E96" s="5" t="s">
        <v>551</v>
      </c>
      <c r="F96" s="424">
        <v>43409</v>
      </c>
      <c r="G96" s="433">
        <f>39/C96</f>
        <v>0.8666666666666667</v>
      </c>
      <c r="H96" s="336" t="s">
        <v>68</v>
      </c>
      <c r="I96" s="426" t="s">
        <v>224</v>
      </c>
      <c r="J96" s="336"/>
      <c r="K96" s="461">
        <v>378809.97</v>
      </c>
      <c r="L96" s="428">
        <v>43978</v>
      </c>
      <c r="M96" s="336"/>
      <c r="N96" s="308"/>
      <c r="O96" s="115" t="s">
        <v>376</v>
      </c>
      <c r="P96" s="236"/>
      <c r="Q96" s="136"/>
      <c r="R96" s="136"/>
      <c r="S96" s="137"/>
      <c r="T96" s="436" t="s">
        <v>554</v>
      </c>
      <c r="U96" s="436"/>
    </row>
    <row r="97" spans="1:20" x14ac:dyDescent="0.25">
      <c r="A97" s="42">
        <v>19</v>
      </c>
      <c r="B97" s="449" t="s">
        <v>407</v>
      </c>
      <c r="C97" s="73">
        <v>45</v>
      </c>
      <c r="D97" s="3">
        <v>2</v>
      </c>
      <c r="E97" s="5" t="s">
        <v>616</v>
      </c>
      <c r="F97" s="244">
        <v>43104</v>
      </c>
      <c r="G97" s="186">
        <f>28/C97</f>
        <v>0.62222222222222223</v>
      </c>
      <c r="H97" s="336" t="s">
        <v>68</v>
      </c>
      <c r="I97" s="452" t="s">
        <v>559</v>
      </c>
      <c r="J97" s="336"/>
      <c r="K97" s="336">
        <v>392212.12</v>
      </c>
      <c r="L97" s="428">
        <v>43580</v>
      </c>
      <c r="M97" s="464">
        <v>44102</v>
      </c>
      <c r="N97" s="465"/>
      <c r="O97" s="3" t="s">
        <v>376</v>
      </c>
      <c r="P97" s="236"/>
      <c r="Q97" s="136"/>
      <c r="R97" s="136"/>
      <c r="S97" s="137"/>
      <c r="T97" s="342">
        <v>43132</v>
      </c>
    </row>
    <row r="98" spans="1:20" x14ac:dyDescent="0.25">
      <c r="A98" s="42">
        <v>20</v>
      </c>
      <c r="B98" s="426" t="s">
        <v>419</v>
      </c>
      <c r="C98" s="152">
        <v>45</v>
      </c>
      <c r="D98" s="115">
        <v>2</v>
      </c>
      <c r="E98" s="115" t="s">
        <v>617</v>
      </c>
      <c r="F98" s="287"/>
      <c r="G98" s="186">
        <f>28/C98</f>
        <v>0.62222222222222223</v>
      </c>
      <c r="H98" s="426" t="s">
        <v>68</v>
      </c>
      <c r="I98" s="453" t="s">
        <v>560</v>
      </c>
      <c r="J98" s="426"/>
      <c r="K98" s="450">
        <v>529269.22</v>
      </c>
      <c r="L98" s="440">
        <v>43627</v>
      </c>
      <c r="M98" s="466">
        <v>44104</v>
      </c>
      <c r="N98" s="467"/>
      <c r="O98" s="233" t="s">
        <v>376</v>
      </c>
      <c r="P98" s="276"/>
      <c r="Q98" s="132"/>
      <c r="R98" s="132"/>
      <c r="S98" s="324"/>
      <c r="T98" s="342">
        <v>43132</v>
      </c>
    </row>
    <row r="99" spans="1:20" x14ac:dyDescent="0.25">
      <c r="A99" s="42">
        <v>21</v>
      </c>
      <c r="B99" s="337" t="s">
        <v>418</v>
      </c>
      <c r="C99" s="144">
        <v>45</v>
      </c>
      <c r="D99" s="3">
        <v>1</v>
      </c>
      <c r="E99" s="3" t="s">
        <v>613</v>
      </c>
      <c r="F99" s="264">
        <v>43216</v>
      </c>
      <c r="G99" s="186">
        <f>27/C99</f>
        <v>0.6</v>
      </c>
      <c r="H99" s="337" t="s">
        <v>68</v>
      </c>
      <c r="I99" s="451" t="s">
        <v>78</v>
      </c>
      <c r="J99" s="337"/>
      <c r="K99" s="336">
        <v>352099.09</v>
      </c>
      <c r="L99" s="428">
        <v>43244</v>
      </c>
      <c r="M99" s="464">
        <v>43879</v>
      </c>
      <c r="N99" s="465" t="s">
        <v>68</v>
      </c>
      <c r="O99" s="3" t="s">
        <v>376</v>
      </c>
      <c r="P99" s="236"/>
      <c r="Q99" s="125"/>
      <c r="R99" s="125"/>
      <c r="S99" s="238"/>
    </row>
    <row r="100" spans="1:20" x14ac:dyDescent="0.25">
      <c r="A100" s="42">
        <v>22</v>
      </c>
      <c r="B100" s="337" t="s">
        <v>423</v>
      </c>
      <c r="C100" s="144">
        <v>45</v>
      </c>
      <c r="D100" s="3">
        <v>0</v>
      </c>
      <c r="E100" s="3" t="s">
        <v>618</v>
      </c>
      <c r="F100" s="264"/>
      <c r="G100" s="186">
        <f>31/C100</f>
        <v>0.68888888888888888</v>
      </c>
      <c r="H100" s="337" t="s">
        <v>68</v>
      </c>
      <c r="I100" s="451" t="s">
        <v>96</v>
      </c>
      <c r="J100" s="337"/>
      <c r="K100" s="336">
        <v>409354.07</v>
      </c>
      <c r="L100" s="428">
        <v>43584</v>
      </c>
      <c r="M100" s="464">
        <v>43928</v>
      </c>
      <c r="N100" s="465" t="s">
        <v>68</v>
      </c>
      <c r="O100" s="3" t="s">
        <v>376</v>
      </c>
      <c r="P100" s="236"/>
      <c r="Q100" s="125"/>
      <c r="R100" s="125"/>
      <c r="S100" s="238"/>
      <c r="T100" s="342">
        <v>43132</v>
      </c>
    </row>
    <row r="101" spans="1:20" x14ac:dyDescent="0.25">
      <c r="A101" s="42">
        <v>23</v>
      </c>
      <c r="B101" s="438" t="s">
        <v>403</v>
      </c>
      <c r="C101" s="282">
        <v>30</v>
      </c>
      <c r="D101" s="203">
        <v>0</v>
      </c>
      <c r="E101" s="233" t="s">
        <v>619</v>
      </c>
      <c r="F101" s="64"/>
      <c r="G101" s="186">
        <f>24/C101</f>
        <v>0.8</v>
      </c>
      <c r="H101" s="438" t="s">
        <v>68</v>
      </c>
      <c r="I101" s="454" t="s">
        <v>561</v>
      </c>
      <c r="J101" s="438"/>
      <c r="K101" s="439">
        <v>257170.98</v>
      </c>
      <c r="L101" s="441">
        <v>43566</v>
      </c>
      <c r="M101" s="468">
        <v>43879</v>
      </c>
      <c r="N101" s="469" t="s">
        <v>68</v>
      </c>
      <c r="O101" s="233" t="s">
        <v>376</v>
      </c>
      <c r="P101" s="235"/>
      <c r="Q101" s="286"/>
      <c r="R101" s="286"/>
      <c r="S101" s="283"/>
      <c r="T101" s="342">
        <v>43132</v>
      </c>
    </row>
    <row r="102" spans="1:20" x14ac:dyDescent="0.25">
      <c r="A102" s="42">
        <v>24</v>
      </c>
      <c r="B102" s="449" t="s">
        <v>425</v>
      </c>
      <c r="C102" s="74">
        <v>45</v>
      </c>
      <c r="D102" s="73">
        <v>2</v>
      </c>
      <c r="E102" s="3" t="s">
        <v>620</v>
      </c>
      <c r="F102" s="264"/>
      <c r="G102" s="186">
        <f>33/C102</f>
        <v>0.73333333333333328</v>
      </c>
      <c r="H102" s="337" t="s">
        <v>68</v>
      </c>
      <c r="I102" s="451" t="s">
        <v>556</v>
      </c>
      <c r="J102" s="337"/>
      <c r="K102" s="336">
        <v>410370.29</v>
      </c>
      <c r="L102" s="428">
        <v>43553</v>
      </c>
      <c r="M102" s="481">
        <v>44228</v>
      </c>
      <c r="N102" s="465"/>
      <c r="O102" s="3" t="s">
        <v>376</v>
      </c>
      <c r="P102" s="236"/>
      <c r="Q102" s="125"/>
      <c r="R102" s="125"/>
      <c r="S102" s="238"/>
      <c r="T102" s="342">
        <v>43132</v>
      </c>
    </row>
    <row r="103" spans="1:20" x14ac:dyDescent="0.25">
      <c r="A103" s="42">
        <v>25</v>
      </c>
      <c r="B103" s="449" t="s">
        <v>426</v>
      </c>
      <c r="C103" s="74">
        <v>54</v>
      </c>
      <c r="D103" s="3">
        <v>1</v>
      </c>
      <c r="E103" s="3" t="s">
        <v>635</v>
      </c>
      <c r="F103" s="264"/>
      <c r="G103" s="186">
        <f>32/C103</f>
        <v>0.59259259259259256</v>
      </c>
      <c r="H103" s="337" t="s">
        <v>68</v>
      </c>
      <c r="I103" s="451" t="s">
        <v>96</v>
      </c>
      <c r="J103" s="337"/>
      <c r="K103" s="336">
        <v>524508.72</v>
      </c>
      <c r="L103" s="428">
        <v>43600</v>
      </c>
      <c r="M103" s="470">
        <v>44162</v>
      </c>
      <c r="N103" s="479" t="s">
        <v>68</v>
      </c>
      <c r="O103" s="3" t="s">
        <v>376</v>
      </c>
      <c r="P103" s="236"/>
      <c r="Q103" s="125"/>
      <c r="R103" s="125"/>
      <c r="S103" s="238"/>
      <c r="T103" s="342">
        <v>43132</v>
      </c>
    </row>
    <row r="104" spans="1:20" x14ac:dyDescent="0.25">
      <c r="A104" s="42">
        <v>26</v>
      </c>
      <c r="B104" s="449" t="s">
        <v>431</v>
      </c>
      <c r="C104" s="74">
        <v>45</v>
      </c>
      <c r="D104" s="3">
        <v>0</v>
      </c>
      <c r="E104" s="233" t="s">
        <v>621</v>
      </c>
      <c r="F104" s="264">
        <v>43104</v>
      </c>
      <c r="G104" s="186">
        <f>36/C104</f>
        <v>0.8</v>
      </c>
      <c r="H104" s="337" t="s">
        <v>68</v>
      </c>
      <c r="I104" s="451" t="s">
        <v>96</v>
      </c>
      <c r="J104" s="337"/>
      <c r="K104" s="336">
        <v>313033.17</v>
      </c>
      <c r="L104" s="428">
        <v>43580</v>
      </c>
      <c r="M104" s="470">
        <v>44125</v>
      </c>
      <c r="N104" s="479" t="s">
        <v>68</v>
      </c>
      <c r="O104" s="3" t="s">
        <v>376</v>
      </c>
      <c r="P104" s="237"/>
      <c r="Q104" s="125"/>
      <c r="R104" s="125"/>
      <c r="S104" s="238"/>
      <c r="T104" s="342">
        <v>43132</v>
      </c>
    </row>
    <row r="105" spans="1:20" x14ac:dyDescent="0.25">
      <c r="A105" s="42">
        <v>27</v>
      </c>
      <c r="B105" s="127" t="s">
        <v>432</v>
      </c>
      <c r="C105" s="306">
        <v>38</v>
      </c>
      <c r="D105" s="102">
        <v>0</v>
      </c>
      <c r="E105" s="7" t="s">
        <v>610</v>
      </c>
      <c r="F105" s="264">
        <v>43068</v>
      </c>
      <c r="G105" s="186">
        <f>21/C105</f>
        <v>0.55263157894736847</v>
      </c>
      <c r="H105" s="74" t="s">
        <v>68</v>
      </c>
      <c r="I105" s="455" t="s">
        <v>78</v>
      </c>
      <c r="J105" s="337"/>
      <c r="K105" s="336">
        <v>302092.17</v>
      </c>
      <c r="L105" s="428">
        <v>43133</v>
      </c>
      <c r="M105" s="470">
        <v>44002</v>
      </c>
      <c r="N105" s="463"/>
      <c r="O105" s="115" t="s">
        <v>376</v>
      </c>
      <c r="P105" s="305"/>
      <c r="Q105" s="125"/>
      <c r="R105" s="125"/>
      <c r="S105" s="283"/>
    </row>
    <row r="106" spans="1:20" x14ac:dyDescent="0.25">
      <c r="A106" s="42">
        <v>28</v>
      </c>
      <c r="B106" s="73" t="s">
        <v>430</v>
      </c>
      <c r="C106" s="5">
        <v>22</v>
      </c>
      <c r="D106" s="73">
        <v>1</v>
      </c>
      <c r="E106" s="7" t="s">
        <v>611</v>
      </c>
      <c r="F106" s="264">
        <v>43068</v>
      </c>
      <c r="G106" s="186">
        <f>15/C106</f>
        <v>0.68181818181818177</v>
      </c>
      <c r="H106" s="74" t="s">
        <v>68</v>
      </c>
      <c r="I106" s="455" t="s">
        <v>78</v>
      </c>
      <c r="J106" s="337"/>
      <c r="K106" s="336">
        <v>262407.82</v>
      </c>
      <c r="L106" s="428">
        <v>43133</v>
      </c>
      <c r="M106" s="470">
        <v>44002</v>
      </c>
      <c r="N106" s="463" t="s">
        <v>68</v>
      </c>
      <c r="O106" s="3" t="s">
        <v>376</v>
      </c>
      <c r="P106" s="236"/>
      <c r="Q106" s="125"/>
      <c r="R106" s="125"/>
      <c r="S106" s="238"/>
    </row>
    <row r="107" spans="1:20" x14ac:dyDescent="0.25">
      <c r="A107" s="42">
        <v>29</v>
      </c>
      <c r="B107" s="411" t="s">
        <v>447</v>
      </c>
      <c r="C107" s="115">
        <v>60</v>
      </c>
      <c r="D107" s="102">
        <v>2</v>
      </c>
      <c r="E107" s="7" t="s">
        <v>622</v>
      </c>
      <c r="F107" s="264"/>
      <c r="G107" s="186">
        <f>52/C107</f>
        <v>0.8666666666666667</v>
      </c>
      <c r="H107" s="306" t="s">
        <v>68</v>
      </c>
      <c r="I107" s="455" t="s">
        <v>556</v>
      </c>
      <c r="J107" s="426"/>
      <c r="K107" s="336">
        <v>410393.89</v>
      </c>
      <c r="L107" s="440">
        <v>43510</v>
      </c>
      <c r="M107" s="481">
        <v>44245</v>
      </c>
      <c r="N107" s="462"/>
      <c r="O107" s="115" t="s">
        <v>376</v>
      </c>
      <c r="P107" s="326"/>
      <c r="Q107" s="132"/>
      <c r="R107" s="132"/>
      <c r="S107" s="283"/>
      <c r="T107" s="342">
        <v>43132</v>
      </c>
    </row>
    <row r="108" spans="1:20" x14ac:dyDescent="0.25">
      <c r="A108" s="42">
        <v>30</v>
      </c>
      <c r="B108" s="472" t="s">
        <v>453</v>
      </c>
      <c r="C108" s="115">
        <v>100</v>
      </c>
      <c r="D108" s="102">
        <v>4</v>
      </c>
      <c r="E108" s="3" t="s">
        <v>623</v>
      </c>
      <c r="F108" s="264"/>
      <c r="G108" s="186">
        <f>66/C108</f>
        <v>0.66</v>
      </c>
      <c r="H108" s="474" t="s">
        <v>68</v>
      </c>
      <c r="I108" s="475" t="s">
        <v>556</v>
      </c>
      <c r="J108" s="474"/>
      <c r="K108" s="475">
        <v>760000</v>
      </c>
      <c r="L108" s="476">
        <v>44249</v>
      </c>
      <c r="M108" s="456"/>
      <c r="N108" s="462"/>
      <c r="O108" s="115" t="s">
        <v>376</v>
      </c>
      <c r="P108" s="312"/>
      <c r="Q108" s="132"/>
      <c r="R108" s="132"/>
      <c r="S108" s="137"/>
      <c r="T108" s="342">
        <v>43132</v>
      </c>
    </row>
    <row r="109" spans="1:20" x14ac:dyDescent="0.25">
      <c r="A109" s="42">
        <v>31</v>
      </c>
      <c r="B109" s="306" t="s">
        <v>448</v>
      </c>
      <c r="C109" s="115">
        <v>45</v>
      </c>
      <c r="D109" s="102">
        <v>1</v>
      </c>
      <c r="E109" s="115" t="s">
        <v>614</v>
      </c>
      <c r="F109" s="264"/>
      <c r="G109" s="186">
        <f>30/C109</f>
        <v>0.66666666666666663</v>
      </c>
      <c r="H109" s="306" t="s">
        <v>68</v>
      </c>
      <c r="I109" s="455" t="s">
        <v>235</v>
      </c>
      <c r="J109" s="426"/>
      <c r="K109" s="336">
        <v>343235.86</v>
      </c>
      <c r="L109" s="440">
        <v>43153</v>
      </c>
      <c r="M109" s="470">
        <v>43826</v>
      </c>
      <c r="N109" s="462" t="s">
        <v>68</v>
      </c>
      <c r="O109" s="115" t="s">
        <v>376</v>
      </c>
      <c r="P109" s="312"/>
      <c r="Q109" s="132"/>
      <c r="R109" s="132"/>
      <c r="S109" s="283"/>
    </row>
    <row r="110" spans="1:20" x14ac:dyDescent="0.25">
      <c r="A110" s="42">
        <v>32</v>
      </c>
      <c r="B110" s="47" t="s">
        <v>444</v>
      </c>
      <c r="C110" s="77">
        <v>60</v>
      </c>
      <c r="D110" s="77">
        <v>2</v>
      </c>
      <c r="E110" s="115" t="s">
        <v>608</v>
      </c>
      <c r="F110" s="264">
        <v>43062</v>
      </c>
      <c r="G110" s="186">
        <f>37/C110</f>
        <v>0.6166666666666667</v>
      </c>
      <c r="H110" s="47" t="s">
        <v>68</v>
      </c>
      <c r="I110" s="455" t="s">
        <v>235</v>
      </c>
      <c r="J110" s="438"/>
      <c r="K110" s="336">
        <v>438950.49</v>
      </c>
      <c r="L110" s="441">
        <v>43152</v>
      </c>
      <c r="M110" s="470">
        <v>43893</v>
      </c>
      <c r="N110" s="471" t="s">
        <v>68</v>
      </c>
      <c r="O110" s="233" t="s">
        <v>376</v>
      </c>
      <c r="P110" s="135"/>
      <c r="Q110" s="329"/>
      <c r="R110" s="329"/>
      <c r="S110" s="137"/>
    </row>
    <row r="111" spans="1:20" x14ac:dyDescent="0.25">
      <c r="A111" s="42">
        <v>33</v>
      </c>
      <c r="B111" s="338" t="s">
        <v>434</v>
      </c>
      <c r="C111" s="85">
        <v>75</v>
      </c>
      <c r="D111" s="85">
        <v>2</v>
      </c>
      <c r="E111" s="3" t="s">
        <v>624</v>
      </c>
      <c r="F111" s="264"/>
      <c r="G111" s="186">
        <f>52/C111</f>
        <v>0.69333333333333336</v>
      </c>
      <c r="H111" s="74" t="s">
        <v>68</v>
      </c>
      <c r="I111" s="454" t="s">
        <v>561</v>
      </c>
      <c r="J111" s="337"/>
      <c r="K111" s="336">
        <v>579886.1</v>
      </c>
      <c r="L111" s="428">
        <v>43591</v>
      </c>
      <c r="M111" s="456"/>
      <c r="N111" s="463"/>
      <c r="O111" s="3" t="s">
        <v>376</v>
      </c>
      <c r="P111" s="131"/>
      <c r="Q111" s="329"/>
      <c r="R111" s="329"/>
      <c r="S111" s="137"/>
      <c r="T111" s="342">
        <v>43132</v>
      </c>
    </row>
    <row r="112" spans="1:20" x14ac:dyDescent="0.25">
      <c r="A112" s="42">
        <v>34</v>
      </c>
      <c r="B112" s="426" t="s">
        <v>483</v>
      </c>
      <c r="C112" s="115">
        <v>25</v>
      </c>
      <c r="D112" s="102">
        <v>0</v>
      </c>
      <c r="E112" s="3" t="s">
        <v>625</v>
      </c>
      <c r="F112" s="264"/>
      <c r="G112" s="186">
        <f>14/C112</f>
        <v>0.56000000000000005</v>
      </c>
      <c r="H112" s="306" t="s">
        <v>68</v>
      </c>
      <c r="I112" s="455" t="s">
        <v>557</v>
      </c>
      <c r="J112" s="426"/>
      <c r="K112" s="336">
        <v>418271.54</v>
      </c>
      <c r="L112" s="440">
        <v>43552</v>
      </c>
      <c r="M112" s="470">
        <v>43908</v>
      </c>
      <c r="N112" s="462" t="s">
        <v>68</v>
      </c>
      <c r="O112" s="115" t="s">
        <v>376</v>
      </c>
      <c r="P112" s="312"/>
      <c r="Q112" s="329"/>
      <c r="R112" s="329"/>
      <c r="S112" s="137"/>
      <c r="T112" s="342">
        <v>43132</v>
      </c>
    </row>
    <row r="113" spans="1:20" x14ac:dyDescent="0.25">
      <c r="A113" s="42">
        <v>35</v>
      </c>
      <c r="B113" s="426" t="s">
        <v>484</v>
      </c>
      <c r="C113" s="115">
        <v>50</v>
      </c>
      <c r="D113" s="102">
        <v>5</v>
      </c>
      <c r="E113" s="3" t="s">
        <v>626</v>
      </c>
      <c r="F113" s="264"/>
      <c r="G113" s="186">
        <f>31/C113</f>
        <v>0.62</v>
      </c>
      <c r="H113" s="306" t="s">
        <v>68</v>
      </c>
      <c r="I113" s="455" t="s">
        <v>562</v>
      </c>
      <c r="J113" s="426"/>
      <c r="K113" s="336">
        <v>526168.55000000005</v>
      </c>
      <c r="L113" s="440">
        <v>43573</v>
      </c>
      <c r="M113" s="470">
        <v>44068</v>
      </c>
      <c r="N113" s="462"/>
      <c r="O113" s="115" t="s">
        <v>376</v>
      </c>
      <c r="P113" s="312"/>
      <c r="Q113" s="125"/>
      <c r="R113" s="125"/>
      <c r="S113" s="137"/>
      <c r="T113" s="342">
        <v>43132</v>
      </c>
    </row>
    <row r="114" spans="1:20" x14ac:dyDescent="0.25">
      <c r="A114" s="42">
        <v>36</v>
      </c>
      <c r="B114" s="426" t="s">
        <v>515</v>
      </c>
      <c r="C114" s="115">
        <v>45</v>
      </c>
      <c r="D114" s="102">
        <v>1</v>
      </c>
      <c r="E114" s="3" t="s">
        <v>627</v>
      </c>
      <c r="F114" s="264">
        <v>43110</v>
      </c>
      <c r="G114" s="186">
        <f>28/C114</f>
        <v>0.62222222222222223</v>
      </c>
      <c r="H114" s="306" t="s">
        <v>68</v>
      </c>
      <c r="I114" s="455" t="s">
        <v>557</v>
      </c>
      <c r="J114" s="426"/>
      <c r="K114" s="336">
        <v>394343.53</v>
      </c>
      <c r="L114" s="440">
        <v>43580</v>
      </c>
      <c r="M114" s="470">
        <v>43984</v>
      </c>
      <c r="N114" s="462" t="s">
        <v>68</v>
      </c>
      <c r="O114" s="115" t="s">
        <v>376</v>
      </c>
      <c r="P114" s="312"/>
      <c r="Q114" s="132"/>
      <c r="R114" s="132"/>
      <c r="S114" s="137"/>
      <c r="T114" s="342">
        <v>43132</v>
      </c>
    </row>
    <row r="115" spans="1:20" x14ac:dyDescent="0.25">
      <c r="A115" s="42">
        <v>37</v>
      </c>
      <c r="B115" s="426" t="s">
        <v>516</v>
      </c>
      <c r="C115" s="115">
        <v>54</v>
      </c>
      <c r="D115" s="102">
        <v>1</v>
      </c>
      <c r="E115" s="3" t="s">
        <v>628</v>
      </c>
      <c r="F115" s="264">
        <v>43109</v>
      </c>
      <c r="G115" s="186">
        <f>32/C115</f>
        <v>0.59259259259259256</v>
      </c>
      <c r="H115" s="306" t="s">
        <v>68</v>
      </c>
      <c r="I115" s="451" t="s">
        <v>96</v>
      </c>
      <c r="J115" s="426"/>
      <c r="K115" s="336">
        <v>550123.84</v>
      </c>
      <c r="L115" s="440">
        <v>43600</v>
      </c>
      <c r="M115" s="470">
        <v>44181</v>
      </c>
      <c r="N115" s="480" t="s">
        <v>68</v>
      </c>
      <c r="O115" s="115" t="s">
        <v>376</v>
      </c>
      <c r="P115" s="312"/>
      <c r="Q115" s="132"/>
      <c r="R115" s="132"/>
      <c r="S115" s="137"/>
      <c r="T115" s="342">
        <v>43132</v>
      </c>
    </row>
    <row r="116" spans="1:20" x14ac:dyDescent="0.25">
      <c r="A116" s="42">
        <v>38</v>
      </c>
      <c r="B116" s="426" t="s">
        <v>517</v>
      </c>
      <c r="C116" s="115">
        <v>6</v>
      </c>
      <c r="D116" s="102">
        <v>1</v>
      </c>
      <c r="E116" s="3" t="s">
        <v>629</v>
      </c>
      <c r="F116" s="264"/>
      <c r="G116" s="186">
        <f>6/C116</f>
        <v>1</v>
      </c>
      <c r="H116" s="306" t="s">
        <v>68</v>
      </c>
      <c r="I116" s="455"/>
      <c r="J116" s="426"/>
      <c r="K116" s="336"/>
      <c r="L116" s="426"/>
      <c r="M116" s="456"/>
      <c r="N116" s="462"/>
      <c r="O116" s="115" t="s">
        <v>376</v>
      </c>
      <c r="P116" s="312"/>
      <c r="Q116" s="132"/>
      <c r="R116" s="132"/>
      <c r="S116" s="137"/>
      <c r="T116" s="342">
        <v>43132</v>
      </c>
    </row>
    <row r="117" spans="1:20" x14ac:dyDescent="0.25">
      <c r="A117" s="42">
        <v>39</v>
      </c>
      <c r="B117" s="426" t="s">
        <v>452</v>
      </c>
      <c r="C117" s="115">
        <v>100</v>
      </c>
      <c r="D117" s="102">
        <v>6</v>
      </c>
      <c r="E117" s="3" t="s">
        <v>630</v>
      </c>
      <c r="F117" s="264">
        <v>43109</v>
      </c>
      <c r="G117" s="186">
        <f>63/C117</f>
        <v>0.63</v>
      </c>
      <c r="H117" s="306" t="s">
        <v>68</v>
      </c>
      <c r="I117" s="451" t="s">
        <v>96</v>
      </c>
      <c r="J117" s="426"/>
      <c r="K117" s="336">
        <v>572240.5</v>
      </c>
      <c r="L117" s="440">
        <v>43567</v>
      </c>
      <c r="M117" s="470">
        <v>44099</v>
      </c>
      <c r="N117" s="462"/>
      <c r="O117" s="115" t="s">
        <v>376</v>
      </c>
      <c r="P117" s="312"/>
      <c r="Q117" s="132"/>
      <c r="R117" s="132"/>
      <c r="S117" s="137"/>
      <c r="T117" s="342">
        <v>43132</v>
      </c>
    </row>
    <row r="118" spans="1:20" x14ac:dyDescent="0.25">
      <c r="A118" s="42">
        <v>40</v>
      </c>
      <c r="B118" s="426" t="s">
        <v>458</v>
      </c>
      <c r="C118" s="115">
        <v>45</v>
      </c>
      <c r="D118" s="102">
        <v>0</v>
      </c>
      <c r="E118" s="3" t="s">
        <v>631</v>
      </c>
      <c r="F118" s="264"/>
      <c r="G118" s="186">
        <f>30/C118</f>
        <v>0.66666666666666663</v>
      </c>
      <c r="H118" s="306" t="s">
        <v>68</v>
      </c>
      <c r="I118" s="336" t="s">
        <v>556</v>
      </c>
      <c r="J118" s="426"/>
      <c r="K118" s="456">
        <v>533097.07999999996</v>
      </c>
      <c r="L118" s="445" t="s">
        <v>574</v>
      </c>
      <c r="M118" s="456"/>
      <c r="N118" s="462"/>
      <c r="O118" s="115" t="s">
        <v>376</v>
      </c>
      <c r="P118" s="312"/>
      <c r="Q118" s="132"/>
      <c r="R118" s="132"/>
      <c r="S118" s="137"/>
      <c r="T118" s="342">
        <v>43132</v>
      </c>
    </row>
    <row r="119" spans="1:20" x14ac:dyDescent="0.25">
      <c r="A119" s="42">
        <v>41</v>
      </c>
      <c r="B119" s="426" t="s">
        <v>518</v>
      </c>
      <c r="C119" s="115">
        <v>54</v>
      </c>
      <c r="D119" s="102">
        <v>4</v>
      </c>
      <c r="E119" s="3" t="s">
        <v>632</v>
      </c>
      <c r="F119" s="264"/>
      <c r="G119" s="186">
        <f>42/C119</f>
        <v>0.77777777777777779</v>
      </c>
      <c r="H119" s="306" t="s">
        <v>68</v>
      </c>
      <c r="I119" s="336" t="s">
        <v>575</v>
      </c>
      <c r="J119" s="426"/>
      <c r="K119" s="456">
        <v>533339.12</v>
      </c>
      <c r="L119" s="458">
        <v>43649</v>
      </c>
      <c r="M119" s="456"/>
      <c r="N119" s="462"/>
      <c r="O119" s="115" t="s">
        <v>376</v>
      </c>
      <c r="P119" s="312"/>
      <c r="Q119" s="132"/>
      <c r="R119" s="132"/>
      <c r="S119" s="137"/>
      <c r="T119" s="342">
        <v>43132</v>
      </c>
    </row>
    <row r="120" spans="1:20" x14ac:dyDescent="0.25">
      <c r="A120" s="42">
        <v>42</v>
      </c>
      <c r="B120" s="472" t="s">
        <v>519</v>
      </c>
      <c r="C120" s="115">
        <v>8</v>
      </c>
      <c r="D120" s="102">
        <v>0</v>
      </c>
      <c r="E120" s="3" t="s">
        <v>633</v>
      </c>
      <c r="F120" s="264"/>
      <c r="G120" s="186">
        <f>6/C120</f>
        <v>0.75</v>
      </c>
      <c r="H120" s="306" t="s">
        <v>68</v>
      </c>
      <c r="I120" s="332" t="s">
        <v>658</v>
      </c>
      <c r="J120" s="472"/>
      <c r="K120" s="332">
        <v>175204.01</v>
      </c>
      <c r="L120" s="473">
        <v>44224</v>
      </c>
      <c r="M120" s="456"/>
      <c r="N120" s="462"/>
      <c r="O120" s="115" t="s">
        <v>376</v>
      </c>
      <c r="P120" s="312"/>
      <c r="Q120" s="132"/>
      <c r="R120" s="132"/>
      <c r="S120" s="137"/>
      <c r="T120" s="342">
        <v>43132</v>
      </c>
    </row>
    <row r="121" spans="1:20" x14ac:dyDescent="0.25">
      <c r="A121" s="42">
        <v>43</v>
      </c>
      <c r="B121" s="426" t="s">
        <v>442</v>
      </c>
      <c r="C121" s="115">
        <v>45</v>
      </c>
      <c r="D121" s="102">
        <v>0</v>
      </c>
      <c r="E121" s="3" t="s">
        <v>634</v>
      </c>
      <c r="F121" s="264"/>
      <c r="G121" s="186">
        <f>40/C121</f>
        <v>0.88888888888888884</v>
      </c>
      <c r="H121" s="306" t="s">
        <v>68</v>
      </c>
      <c r="I121" s="451" t="s">
        <v>224</v>
      </c>
      <c r="J121" s="426"/>
      <c r="K121" s="336">
        <v>424174.27</v>
      </c>
      <c r="L121" s="440">
        <v>43585</v>
      </c>
      <c r="M121" s="470">
        <v>44029</v>
      </c>
      <c r="N121" s="462" t="s">
        <v>68</v>
      </c>
      <c r="O121" s="115" t="s">
        <v>376</v>
      </c>
      <c r="P121" s="312"/>
      <c r="Q121" s="132"/>
      <c r="R121" s="132"/>
      <c r="S121" s="137"/>
      <c r="T121" s="342">
        <v>43132</v>
      </c>
    </row>
    <row r="122" spans="1:20" ht="15.75" x14ac:dyDescent="0.25">
      <c r="A122" s="42"/>
      <c r="B122" s="435" t="s">
        <v>540</v>
      </c>
      <c r="C122" s="115"/>
      <c r="D122" s="102"/>
      <c r="E122" s="3"/>
      <c r="F122" s="264"/>
      <c r="G122" s="186"/>
      <c r="H122" s="306"/>
      <c r="I122" s="3"/>
      <c r="J122" s="126"/>
      <c r="K122" s="3"/>
      <c r="L122" s="126"/>
      <c r="M122" s="406"/>
      <c r="N122" s="467"/>
      <c r="O122" s="115"/>
      <c r="P122" s="312"/>
      <c r="Q122" s="132"/>
      <c r="R122" s="132"/>
      <c r="S122" s="137"/>
      <c r="T122" s="342"/>
    </row>
    <row r="123" spans="1:20" x14ac:dyDescent="0.25">
      <c r="A123" s="42">
        <v>44</v>
      </c>
      <c r="B123" s="437" t="s">
        <v>520</v>
      </c>
      <c r="C123" s="115">
        <v>8</v>
      </c>
      <c r="D123" s="102">
        <v>0</v>
      </c>
      <c r="E123" s="3" t="s">
        <v>537</v>
      </c>
      <c r="F123" s="128">
        <v>43409</v>
      </c>
      <c r="G123" s="186">
        <f>5/C123</f>
        <v>0.625</v>
      </c>
      <c r="H123" s="426" t="s">
        <v>68</v>
      </c>
      <c r="I123" s="3"/>
      <c r="J123" s="126"/>
      <c r="K123" s="3"/>
      <c r="L123" s="126"/>
      <c r="M123" s="3"/>
      <c r="N123" s="325"/>
      <c r="O123" s="115"/>
      <c r="P123" s="312"/>
      <c r="Q123" s="132"/>
      <c r="R123" s="132"/>
      <c r="S123" s="137"/>
      <c r="T123" s="342">
        <v>43497</v>
      </c>
    </row>
    <row r="124" spans="1:20" x14ac:dyDescent="0.25">
      <c r="A124" s="42">
        <v>45</v>
      </c>
      <c r="B124" s="437" t="s">
        <v>446</v>
      </c>
      <c r="C124" s="115">
        <v>60</v>
      </c>
      <c r="D124" s="102">
        <v>1</v>
      </c>
      <c r="E124" s="3" t="s">
        <v>538</v>
      </c>
      <c r="F124" s="128">
        <v>43410</v>
      </c>
      <c r="G124" s="186">
        <f>40/C124</f>
        <v>0.66666666666666663</v>
      </c>
      <c r="H124" s="426" t="s">
        <v>68</v>
      </c>
      <c r="I124" s="3"/>
      <c r="J124" s="126"/>
      <c r="K124" s="3"/>
      <c r="L124" s="126"/>
      <c r="M124" s="3"/>
      <c r="N124" s="325"/>
      <c r="O124" s="115"/>
      <c r="P124" s="312"/>
      <c r="Q124" s="132"/>
      <c r="R124" s="132"/>
      <c r="S124" s="137"/>
      <c r="T124" s="342">
        <v>43497</v>
      </c>
    </row>
    <row r="125" spans="1:20" x14ac:dyDescent="0.25">
      <c r="A125" s="42">
        <v>46</v>
      </c>
      <c r="B125" s="474" t="s">
        <v>521</v>
      </c>
      <c r="C125" s="115">
        <v>12</v>
      </c>
      <c r="D125" s="102">
        <v>0</v>
      </c>
      <c r="E125" s="3">
        <v>60864</v>
      </c>
      <c r="F125" s="264">
        <v>43207</v>
      </c>
      <c r="G125" s="186">
        <f>7/C125</f>
        <v>0.58333333333333337</v>
      </c>
      <c r="H125" s="426" t="s">
        <v>68</v>
      </c>
      <c r="I125" s="332" t="s">
        <v>658</v>
      </c>
      <c r="J125" s="472"/>
      <c r="K125" s="332">
        <v>191340</v>
      </c>
      <c r="L125" s="473">
        <v>44216</v>
      </c>
      <c r="M125" s="3"/>
      <c r="N125" s="325"/>
      <c r="O125" s="115"/>
      <c r="P125" s="312"/>
      <c r="Q125" s="132"/>
      <c r="R125" s="132"/>
      <c r="S125" s="137"/>
      <c r="T125" s="342">
        <v>43497</v>
      </c>
    </row>
    <row r="126" spans="1:20" x14ac:dyDescent="0.25">
      <c r="A126" s="42">
        <v>47</v>
      </c>
      <c r="B126" s="437" t="s">
        <v>522</v>
      </c>
      <c r="C126" s="115">
        <v>45</v>
      </c>
      <c r="D126" s="102">
        <v>0</v>
      </c>
      <c r="E126" s="3" t="s">
        <v>541</v>
      </c>
      <c r="F126" s="264">
        <v>43216</v>
      </c>
      <c r="G126" s="186">
        <f>28/C126</f>
        <v>0.62222222222222223</v>
      </c>
      <c r="H126" s="426" t="s">
        <v>68</v>
      </c>
      <c r="I126" s="3" t="s">
        <v>96</v>
      </c>
      <c r="J126" s="126"/>
      <c r="K126" s="336">
        <v>376963.28</v>
      </c>
      <c r="L126" s="440">
        <v>43969</v>
      </c>
      <c r="M126" s="3"/>
      <c r="N126" s="325"/>
      <c r="O126" s="115"/>
      <c r="P126" s="312"/>
      <c r="Q126" s="132"/>
      <c r="R126" s="132"/>
      <c r="S126" s="137"/>
      <c r="T126" s="342">
        <v>43497</v>
      </c>
    </row>
    <row r="127" spans="1:20" x14ac:dyDescent="0.25">
      <c r="A127" s="42">
        <v>48</v>
      </c>
      <c r="B127" s="437" t="s">
        <v>523</v>
      </c>
      <c r="C127" s="115">
        <v>4</v>
      </c>
      <c r="D127" s="102">
        <v>0</v>
      </c>
      <c r="E127" s="3"/>
      <c r="F127" s="264"/>
      <c r="G127" s="186"/>
      <c r="H127" s="426"/>
      <c r="I127" s="3"/>
      <c r="J127" s="126"/>
      <c r="K127" s="336"/>
      <c r="L127" s="426"/>
      <c r="M127" s="3"/>
      <c r="N127" s="325"/>
      <c r="O127" s="115"/>
      <c r="P127" s="312"/>
      <c r="Q127" s="132"/>
      <c r="R127" s="132"/>
      <c r="S127" s="137"/>
      <c r="T127" s="342"/>
    </row>
    <row r="128" spans="1:20" x14ac:dyDescent="0.25">
      <c r="A128" s="42">
        <v>49</v>
      </c>
      <c r="B128" s="437" t="s">
        <v>524</v>
      </c>
      <c r="C128" s="115">
        <v>80</v>
      </c>
      <c r="D128" s="102">
        <v>2</v>
      </c>
      <c r="E128" s="3" t="s">
        <v>542</v>
      </c>
      <c r="F128" s="264">
        <v>43446</v>
      </c>
      <c r="G128" s="186">
        <f>59/C128</f>
        <v>0.73750000000000004</v>
      </c>
      <c r="H128" s="426" t="s">
        <v>68</v>
      </c>
      <c r="I128" s="3"/>
      <c r="J128" s="126"/>
      <c r="K128" s="336"/>
      <c r="L128" s="426"/>
      <c r="M128" s="3"/>
      <c r="N128" s="325"/>
      <c r="O128" s="115"/>
      <c r="P128" s="312"/>
      <c r="Q128" s="132"/>
      <c r="R128" s="132"/>
      <c r="S128" s="137"/>
      <c r="T128" s="342">
        <v>43497</v>
      </c>
    </row>
    <row r="129" spans="1:20" x14ac:dyDescent="0.25">
      <c r="A129" s="42">
        <v>50</v>
      </c>
      <c r="B129" s="437" t="s">
        <v>454</v>
      </c>
      <c r="C129" s="115">
        <v>45</v>
      </c>
      <c r="D129" s="102">
        <v>2</v>
      </c>
      <c r="E129" s="3" t="s">
        <v>543</v>
      </c>
      <c r="F129" s="264">
        <v>43297</v>
      </c>
      <c r="G129" s="186">
        <f>29/C129</f>
        <v>0.64444444444444449</v>
      </c>
      <c r="H129" s="426" t="s">
        <v>68</v>
      </c>
      <c r="I129" s="3" t="s">
        <v>597</v>
      </c>
      <c r="J129" s="126"/>
      <c r="K129" s="336">
        <v>494176.52</v>
      </c>
      <c r="L129" s="440">
        <v>43964</v>
      </c>
      <c r="M129" s="3"/>
      <c r="N129" s="325"/>
      <c r="O129" s="115"/>
      <c r="P129" s="312"/>
      <c r="Q129" s="132"/>
      <c r="R129" s="132"/>
      <c r="S129" s="137"/>
      <c r="T129" s="342">
        <v>43497</v>
      </c>
    </row>
    <row r="130" spans="1:20" x14ac:dyDescent="0.25">
      <c r="A130" s="42">
        <v>51</v>
      </c>
      <c r="B130" s="437" t="s">
        <v>525</v>
      </c>
      <c r="C130" s="115">
        <v>75</v>
      </c>
      <c r="D130" s="102">
        <v>1</v>
      </c>
      <c r="E130" s="3" t="s">
        <v>544</v>
      </c>
      <c r="F130" s="264">
        <v>43243</v>
      </c>
      <c r="G130" s="186">
        <f>53/C130</f>
        <v>0.70666666666666667</v>
      </c>
      <c r="H130" s="426" t="s">
        <v>68</v>
      </c>
      <c r="I130" s="3" t="s">
        <v>598</v>
      </c>
      <c r="J130" s="126"/>
      <c r="K130" s="336">
        <v>790029.2</v>
      </c>
      <c r="L130" s="440">
        <v>43937</v>
      </c>
      <c r="M130" s="3"/>
      <c r="N130" s="325"/>
      <c r="O130" s="115"/>
      <c r="P130" s="312"/>
      <c r="Q130" s="132"/>
      <c r="R130" s="132"/>
      <c r="S130" s="137"/>
      <c r="T130" s="342">
        <v>43497</v>
      </c>
    </row>
    <row r="131" spans="1:20" x14ac:dyDescent="0.25">
      <c r="A131" s="42">
        <v>52</v>
      </c>
      <c r="B131" s="437" t="s">
        <v>450</v>
      </c>
      <c r="C131" s="115">
        <v>100</v>
      </c>
      <c r="D131" s="102">
        <v>1</v>
      </c>
      <c r="E131" s="3" t="s">
        <v>545</v>
      </c>
      <c r="F131" s="264">
        <v>43285</v>
      </c>
      <c r="G131" s="186">
        <f>58/C131</f>
        <v>0.57999999999999996</v>
      </c>
      <c r="H131" s="426" t="s">
        <v>68</v>
      </c>
      <c r="I131" s="3" t="s">
        <v>557</v>
      </c>
      <c r="J131" s="126"/>
      <c r="K131" s="336">
        <v>840272.39</v>
      </c>
      <c r="L131" s="440">
        <v>43936</v>
      </c>
      <c r="M131" s="3"/>
      <c r="N131" s="325"/>
      <c r="O131" s="115"/>
      <c r="P131" s="312"/>
      <c r="Q131" s="132"/>
      <c r="R131" s="132"/>
      <c r="S131" s="137"/>
      <c r="T131" s="342">
        <v>43497</v>
      </c>
    </row>
    <row r="132" spans="1:20" x14ac:dyDescent="0.25">
      <c r="A132" s="42">
        <v>53</v>
      </c>
      <c r="B132" s="437" t="s">
        <v>526</v>
      </c>
      <c r="C132" s="115">
        <v>60</v>
      </c>
      <c r="D132" s="102">
        <v>3</v>
      </c>
      <c r="E132" s="3" t="s">
        <v>660</v>
      </c>
      <c r="F132" s="264">
        <v>43313</v>
      </c>
      <c r="G132" s="186">
        <f>39/C132</f>
        <v>0.65</v>
      </c>
      <c r="H132" s="426" t="s">
        <v>68</v>
      </c>
      <c r="I132" s="3" t="s">
        <v>224</v>
      </c>
      <c r="J132" s="126"/>
      <c r="K132" s="336">
        <v>591834.21</v>
      </c>
      <c r="L132" s="440">
        <v>43986</v>
      </c>
      <c r="M132" s="3"/>
      <c r="N132" s="325"/>
      <c r="O132" s="115"/>
      <c r="P132" s="312"/>
      <c r="Q132" s="132"/>
      <c r="R132" s="132"/>
      <c r="S132" s="137"/>
      <c r="T132" s="342">
        <v>43497</v>
      </c>
    </row>
    <row r="133" spans="1:20" x14ac:dyDescent="0.25">
      <c r="A133" s="42">
        <v>54</v>
      </c>
      <c r="B133" s="437" t="s">
        <v>527</v>
      </c>
      <c r="C133" s="115">
        <v>65</v>
      </c>
      <c r="D133" s="102">
        <v>4</v>
      </c>
      <c r="E133" s="3" t="s">
        <v>546</v>
      </c>
      <c r="F133" s="264">
        <v>43285</v>
      </c>
      <c r="G133" s="186">
        <f>39/C133</f>
        <v>0.6</v>
      </c>
      <c r="H133" s="426" t="s">
        <v>68</v>
      </c>
      <c r="I133" s="336" t="s">
        <v>96</v>
      </c>
      <c r="J133" s="426"/>
      <c r="K133" s="336">
        <v>521060.26</v>
      </c>
      <c r="L133" s="440">
        <v>43921</v>
      </c>
      <c r="M133" s="3"/>
      <c r="N133" s="325"/>
      <c r="O133" s="115"/>
      <c r="P133" s="312"/>
      <c r="Q133" s="132"/>
      <c r="R133" s="132"/>
      <c r="S133" s="137"/>
      <c r="T133" s="342">
        <v>43497</v>
      </c>
    </row>
    <row r="134" spans="1:20" x14ac:dyDescent="0.25">
      <c r="A134" s="42">
        <v>55</v>
      </c>
      <c r="B134" s="437" t="s">
        <v>528</v>
      </c>
      <c r="C134" s="115">
        <v>44</v>
      </c>
      <c r="D134" s="102">
        <v>1</v>
      </c>
      <c r="E134" s="3" t="s">
        <v>547</v>
      </c>
      <c r="F134" s="264">
        <v>43285</v>
      </c>
      <c r="G134" s="186">
        <f>28/C134</f>
        <v>0.63636363636363635</v>
      </c>
      <c r="H134" s="426" t="s">
        <v>68</v>
      </c>
      <c r="I134" s="3" t="s">
        <v>96</v>
      </c>
      <c r="J134" s="126"/>
      <c r="K134" s="336">
        <v>506191.04</v>
      </c>
      <c r="L134" s="440">
        <v>43987</v>
      </c>
      <c r="M134" s="3"/>
      <c r="N134" s="325"/>
      <c r="O134" s="115"/>
      <c r="P134" s="312"/>
      <c r="Q134" s="132"/>
      <c r="R134" s="132"/>
      <c r="S134" s="137"/>
      <c r="T134" s="342">
        <v>43497</v>
      </c>
    </row>
    <row r="135" spans="1:20" x14ac:dyDescent="0.25">
      <c r="A135" s="42">
        <v>56</v>
      </c>
      <c r="B135" s="437" t="s">
        <v>529</v>
      </c>
      <c r="C135" s="115">
        <v>45</v>
      </c>
      <c r="D135" s="102">
        <v>0</v>
      </c>
      <c r="E135" s="3" t="s">
        <v>548</v>
      </c>
      <c r="F135" s="264">
        <v>43325</v>
      </c>
      <c r="G135" s="186">
        <f>27/C135</f>
        <v>0.6</v>
      </c>
      <c r="H135" s="426" t="s">
        <v>68</v>
      </c>
      <c r="I135" s="3" t="s">
        <v>562</v>
      </c>
      <c r="J135" s="126"/>
      <c r="K135" s="336">
        <v>489025.93</v>
      </c>
      <c r="L135" s="440">
        <v>43972</v>
      </c>
      <c r="M135" s="3"/>
      <c r="N135" s="325"/>
      <c r="O135" s="115"/>
      <c r="P135" s="312"/>
      <c r="Q135" s="132"/>
      <c r="R135" s="132"/>
      <c r="S135" s="137"/>
      <c r="T135" s="342">
        <v>43497</v>
      </c>
    </row>
    <row r="136" spans="1:20" x14ac:dyDescent="0.25">
      <c r="A136" s="42">
        <v>57</v>
      </c>
      <c r="B136" s="437" t="s">
        <v>530</v>
      </c>
      <c r="C136" s="115">
        <v>20</v>
      </c>
      <c r="D136" s="102">
        <v>0</v>
      </c>
      <c r="E136" s="3" t="s">
        <v>549</v>
      </c>
      <c r="F136" s="264">
        <v>43325</v>
      </c>
      <c r="G136" s="186">
        <f>17/C136</f>
        <v>0.85</v>
      </c>
      <c r="H136" s="426" t="s">
        <v>68</v>
      </c>
      <c r="I136" s="3" t="s">
        <v>556</v>
      </c>
      <c r="J136" s="126"/>
      <c r="K136" s="336">
        <v>242798.72</v>
      </c>
      <c r="L136" s="440">
        <v>43971</v>
      </c>
      <c r="M136" s="3"/>
      <c r="N136" s="325"/>
      <c r="O136" s="115"/>
      <c r="P136" s="312"/>
      <c r="Q136" s="132"/>
      <c r="R136" s="132"/>
      <c r="S136" s="137"/>
      <c r="T136" s="342">
        <v>43497</v>
      </c>
    </row>
    <row r="137" spans="1:20" x14ac:dyDescent="0.25">
      <c r="A137" s="42">
        <v>58</v>
      </c>
      <c r="B137" s="437" t="s">
        <v>531</v>
      </c>
      <c r="C137" s="115">
        <v>4</v>
      </c>
      <c r="D137" s="102">
        <v>0</v>
      </c>
      <c r="E137" s="3" t="s">
        <v>550</v>
      </c>
      <c r="F137" s="264">
        <v>43339</v>
      </c>
      <c r="G137" s="186">
        <f>3/C137</f>
        <v>0.75</v>
      </c>
      <c r="H137" s="426" t="s">
        <v>68</v>
      </c>
      <c r="I137" s="3"/>
      <c r="J137" s="126"/>
      <c r="K137" s="336"/>
      <c r="L137" s="426"/>
      <c r="M137" s="3"/>
      <c r="N137" s="325"/>
      <c r="O137" s="115"/>
      <c r="P137" s="312"/>
      <c r="Q137" s="132"/>
      <c r="R137" s="132"/>
      <c r="S137" s="137"/>
      <c r="T137" s="342">
        <v>43497</v>
      </c>
    </row>
    <row r="138" spans="1:20" x14ac:dyDescent="0.25">
      <c r="A138" s="42">
        <v>59</v>
      </c>
      <c r="B138" s="437" t="s">
        <v>532</v>
      </c>
      <c r="C138" s="115">
        <v>30</v>
      </c>
      <c r="D138" s="102">
        <v>2</v>
      </c>
      <c r="E138" s="3">
        <v>60855</v>
      </c>
      <c r="F138" s="264">
        <v>43325</v>
      </c>
      <c r="G138" s="186">
        <f>24/C138</f>
        <v>0.8</v>
      </c>
      <c r="H138" s="426" t="s">
        <v>68</v>
      </c>
      <c r="I138" s="3" t="s">
        <v>599</v>
      </c>
      <c r="J138" s="126"/>
      <c r="K138" s="336">
        <v>327317.02</v>
      </c>
      <c r="L138" s="440">
        <v>43930</v>
      </c>
      <c r="M138" s="3"/>
      <c r="N138" s="325"/>
      <c r="O138" s="115"/>
      <c r="P138" s="312"/>
      <c r="Q138" s="132"/>
      <c r="R138" s="132"/>
      <c r="S138" s="137"/>
      <c r="T138" s="342">
        <v>43497</v>
      </c>
    </row>
    <row r="139" spans="1:20" x14ac:dyDescent="0.25">
      <c r="A139" s="42">
        <v>60</v>
      </c>
      <c r="B139" s="437" t="s">
        <v>457</v>
      </c>
      <c r="C139" s="115">
        <v>45</v>
      </c>
      <c r="D139" s="102">
        <v>0</v>
      </c>
      <c r="E139" s="3" t="s">
        <v>552</v>
      </c>
      <c r="F139" s="264">
        <v>43353</v>
      </c>
      <c r="G139" s="186">
        <f>29/C139</f>
        <v>0.64444444444444449</v>
      </c>
      <c r="H139" s="426" t="s">
        <v>68</v>
      </c>
      <c r="I139" s="3" t="s">
        <v>600</v>
      </c>
      <c r="J139" s="126"/>
      <c r="K139" s="336">
        <v>379940</v>
      </c>
      <c r="L139" s="440">
        <v>43935</v>
      </c>
      <c r="M139" s="3"/>
      <c r="N139" s="325"/>
      <c r="O139" s="115"/>
      <c r="P139" s="312"/>
      <c r="Q139" s="132"/>
      <c r="R139" s="132"/>
      <c r="S139" s="137"/>
      <c r="T139" s="342">
        <v>43497</v>
      </c>
    </row>
    <row r="140" spans="1:20" x14ac:dyDescent="0.25">
      <c r="A140" s="42">
        <v>61</v>
      </c>
      <c r="B140" s="437" t="s">
        <v>437</v>
      </c>
      <c r="C140" s="115">
        <v>60</v>
      </c>
      <c r="D140" s="102">
        <v>1</v>
      </c>
      <c r="E140" s="3" t="s">
        <v>553</v>
      </c>
      <c r="F140" s="264">
        <v>43339</v>
      </c>
      <c r="G140" s="186">
        <f>40/C140</f>
        <v>0.66666666666666663</v>
      </c>
      <c r="H140" s="426" t="s">
        <v>68</v>
      </c>
      <c r="I140" s="3" t="s">
        <v>96</v>
      </c>
      <c r="J140" s="126"/>
      <c r="K140" s="336">
        <v>523821.45</v>
      </c>
      <c r="L140" s="440">
        <v>43935</v>
      </c>
      <c r="M140" s="3"/>
      <c r="N140" s="325"/>
      <c r="O140" s="115"/>
      <c r="P140" s="312"/>
      <c r="Q140" s="132"/>
      <c r="R140" s="132"/>
      <c r="S140" s="137"/>
      <c r="T140" s="342">
        <v>43497</v>
      </c>
    </row>
    <row r="141" spans="1:20" x14ac:dyDescent="0.25">
      <c r="A141" s="42">
        <v>62</v>
      </c>
      <c r="B141" s="437" t="s">
        <v>397</v>
      </c>
      <c r="C141" s="115">
        <v>45</v>
      </c>
      <c r="D141" s="102">
        <v>1</v>
      </c>
      <c r="E141" s="3" t="s">
        <v>661</v>
      </c>
      <c r="F141" s="264">
        <v>43388</v>
      </c>
      <c r="G141" s="186">
        <f>35/C141</f>
        <v>0.77777777777777779</v>
      </c>
      <c r="H141" s="426" t="s">
        <v>68</v>
      </c>
      <c r="I141" s="3" t="s">
        <v>561</v>
      </c>
      <c r="J141" s="126"/>
      <c r="K141" s="336">
        <v>476343.6</v>
      </c>
      <c r="L141" s="440">
        <v>43959</v>
      </c>
      <c r="M141" s="3"/>
      <c r="N141" s="325"/>
      <c r="O141" s="115"/>
      <c r="P141" s="312"/>
      <c r="Q141" s="132"/>
      <c r="R141" s="132"/>
      <c r="S141" s="137"/>
      <c r="T141" s="342">
        <v>43497</v>
      </c>
    </row>
    <row r="142" spans="1:20" x14ac:dyDescent="0.25">
      <c r="A142" s="42">
        <v>63</v>
      </c>
      <c r="B142" s="437" t="s">
        <v>533</v>
      </c>
      <c r="C142" s="115">
        <v>54</v>
      </c>
      <c r="D142" s="102">
        <v>1</v>
      </c>
      <c r="E142" s="3" t="s">
        <v>662</v>
      </c>
      <c r="F142" s="264">
        <v>43376</v>
      </c>
      <c r="G142" s="186">
        <f>37/C142</f>
        <v>0.68518518518518523</v>
      </c>
      <c r="H142" s="426" t="s">
        <v>68</v>
      </c>
      <c r="I142" s="3" t="s">
        <v>235</v>
      </c>
      <c r="J142" s="126"/>
      <c r="K142" s="336">
        <v>692569.73</v>
      </c>
      <c r="L142" s="440">
        <v>43941</v>
      </c>
      <c r="M142" s="3"/>
      <c r="N142" s="325"/>
      <c r="O142" s="115"/>
      <c r="P142" s="312"/>
      <c r="Q142" s="132"/>
      <c r="R142" s="132"/>
      <c r="S142" s="137"/>
      <c r="T142" s="342">
        <v>43497</v>
      </c>
    </row>
    <row r="143" spans="1:20" x14ac:dyDescent="0.25">
      <c r="A143" s="42">
        <v>64</v>
      </c>
      <c r="B143" s="437" t="s">
        <v>534</v>
      </c>
      <c r="C143" s="115">
        <v>6</v>
      </c>
      <c r="D143" s="102">
        <v>3</v>
      </c>
      <c r="E143" s="3" t="s">
        <v>663</v>
      </c>
      <c r="F143" s="264">
        <v>43411</v>
      </c>
      <c r="G143" s="186">
        <f>6/C143</f>
        <v>1</v>
      </c>
      <c r="H143" s="426" t="s">
        <v>68</v>
      </c>
      <c r="I143" s="3"/>
      <c r="J143" s="126"/>
      <c r="K143" s="336"/>
      <c r="L143" s="426"/>
      <c r="M143" s="3"/>
      <c r="N143" s="325"/>
      <c r="O143" s="115"/>
      <c r="P143" s="312"/>
      <c r="Q143" s="132"/>
      <c r="R143" s="132"/>
      <c r="S143" s="137"/>
      <c r="T143" s="342">
        <v>43497</v>
      </c>
    </row>
    <row r="144" spans="1:20" x14ac:dyDescent="0.25">
      <c r="A144" s="42">
        <v>65</v>
      </c>
      <c r="B144" s="445" t="s">
        <v>445</v>
      </c>
      <c r="C144" s="115">
        <v>60</v>
      </c>
      <c r="D144" s="102">
        <v>1</v>
      </c>
      <c r="E144" s="3" t="s">
        <v>664</v>
      </c>
      <c r="F144" s="264">
        <v>43410</v>
      </c>
      <c r="G144" s="186">
        <f>38/C144</f>
        <v>0.6333333333333333</v>
      </c>
      <c r="H144" s="426" t="s">
        <v>68</v>
      </c>
      <c r="I144" s="3" t="s">
        <v>224</v>
      </c>
      <c r="J144" s="126"/>
      <c r="K144" s="336">
        <v>435452.23</v>
      </c>
      <c r="L144" s="440">
        <v>43928</v>
      </c>
      <c r="M144" s="3"/>
      <c r="N144" s="325"/>
      <c r="O144" s="115"/>
      <c r="P144" s="312"/>
      <c r="Q144" s="132"/>
      <c r="R144" s="132"/>
      <c r="S144" s="137"/>
      <c r="T144" s="342">
        <v>43497</v>
      </c>
    </row>
    <row r="145" spans="1:20" ht="15.75" x14ac:dyDescent="0.25">
      <c r="A145" s="42"/>
      <c r="B145" s="477" t="s">
        <v>659</v>
      </c>
      <c r="C145" s="115"/>
      <c r="D145" s="102"/>
      <c r="E145" s="3"/>
      <c r="F145" s="264"/>
      <c r="G145" s="186"/>
      <c r="H145" s="306"/>
      <c r="I145" s="3"/>
      <c r="J145" s="126"/>
      <c r="K145" s="336"/>
      <c r="L145" s="426"/>
      <c r="M145" s="3"/>
      <c r="N145" s="325"/>
      <c r="O145" s="115"/>
      <c r="P145" s="312"/>
      <c r="Q145" s="132"/>
      <c r="R145" s="132"/>
      <c r="S145" s="137"/>
      <c r="T145" s="342"/>
    </row>
    <row r="146" spans="1:20" x14ac:dyDescent="0.25">
      <c r="A146" s="42">
        <v>66</v>
      </c>
      <c r="B146" s="426" t="s">
        <v>535</v>
      </c>
      <c r="C146" s="450">
        <v>9</v>
      </c>
      <c r="D146" s="450">
        <v>0</v>
      </c>
      <c r="E146" s="336"/>
      <c r="F146" s="428"/>
      <c r="G146" s="433"/>
      <c r="H146" s="306"/>
      <c r="I146" s="3"/>
      <c r="J146" s="126"/>
      <c r="K146" s="336"/>
      <c r="L146" s="426"/>
      <c r="M146" s="3"/>
      <c r="N146" s="325"/>
      <c r="O146" s="115"/>
      <c r="P146" s="312"/>
      <c r="Q146" s="132"/>
      <c r="R146" s="132"/>
      <c r="S146" s="137"/>
      <c r="T146" s="342"/>
    </row>
    <row r="147" spans="1:20" x14ac:dyDescent="0.25">
      <c r="A147" s="42">
        <v>67</v>
      </c>
      <c r="B147" s="472" t="s">
        <v>536</v>
      </c>
      <c r="C147" s="450">
        <v>8</v>
      </c>
      <c r="D147" s="450">
        <v>1</v>
      </c>
      <c r="E147" s="336" t="s">
        <v>577</v>
      </c>
      <c r="F147" s="428">
        <v>43767</v>
      </c>
      <c r="G147" s="433">
        <v>0.875</v>
      </c>
      <c r="H147" s="306" t="s">
        <v>68</v>
      </c>
      <c r="I147" s="332" t="s">
        <v>575</v>
      </c>
      <c r="J147" s="472"/>
      <c r="K147" s="332">
        <v>169000</v>
      </c>
      <c r="L147" s="473">
        <v>44218</v>
      </c>
      <c r="M147" s="3"/>
      <c r="N147" s="325"/>
      <c r="O147" s="115"/>
      <c r="P147" s="312"/>
      <c r="Q147" s="132"/>
      <c r="R147" s="132"/>
      <c r="S147" s="137"/>
      <c r="T147" s="342">
        <v>43862</v>
      </c>
    </row>
    <row r="148" spans="1:20" x14ac:dyDescent="0.25">
      <c r="A148" s="42">
        <v>68</v>
      </c>
      <c r="B148" s="426" t="s">
        <v>563</v>
      </c>
      <c r="C148" s="450">
        <v>45</v>
      </c>
      <c r="D148" s="450">
        <v>1</v>
      </c>
      <c r="E148" s="336" t="s">
        <v>581</v>
      </c>
      <c r="F148" s="428">
        <v>43748</v>
      </c>
      <c r="G148" s="433">
        <v>0.66669999999999996</v>
      </c>
      <c r="H148" s="306" t="s">
        <v>68</v>
      </c>
      <c r="I148" s="3"/>
      <c r="J148" s="126"/>
      <c r="K148" s="3"/>
      <c r="L148" s="126"/>
      <c r="M148" s="3"/>
      <c r="N148" s="325"/>
      <c r="O148" s="115"/>
      <c r="P148" s="312"/>
      <c r="Q148" s="132"/>
      <c r="R148" s="132"/>
      <c r="S148" s="137"/>
      <c r="T148" s="342">
        <v>43862</v>
      </c>
    </row>
    <row r="149" spans="1:20" x14ac:dyDescent="0.25">
      <c r="A149" s="42">
        <v>69</v>
      </c>
      <c r="B149" s="472" t="s">
        <v>564</v>
      </c>
      <c r="C149" s="450">
        <v>40</v>
      </c>
      <c r="D149" s="450">
        <v>0</v>
      </c>
      <c r="E149" s="336" t="s">
        <v>582</v>
      </c>
      <c r="F149" s="428">
        <v>43748</v>
      </c>
      <c r="G149" s="433">
        <v>0.67500000000000004</v>
      </c>
      <c r="H149" s="306" t="s">
        <v>68</v>
      </c>
      <c r="I149" s="332" t="s">
        <v>224</v>
      </c>
      <c r="J149" s="472"/>
      <c r="K149" s="332">
        <v>411343.65</v>
      </c>
      <c r="L149" s="473">
        <v>44208</v>
      </c>
      <c r="M149" s="3"/>
      <c r="N149" s="325"/>
      <c r="O149" s="115"/>
      <c r="P149" s="312"/>
      <c r="Q149" s="132"/>
      <c r="R149" s="132"/>
      <c r="S149" s="137"/>
      <c r="T149" s="342">
        <v>43862</v>
      </c>
    </row>
    <row r="150" spans="1:20" x14ac:dyDescent="0.25">
      <c r="A150" s="42">
        <v>70</v>
      </c>
      <c r="B150" s="426" t="s">
        <v>565</v>
      </c>
      <c r="C150" s="450">
        <v>8</v>
      </c>
      <c r="D150" s="450">
        <v>0</v>
      </c>
      <c r="E150" s="336" t="s">
        <v>583</v>
      </c>
      <c r="F150" s="428">
        <v>43775</v>
      </c>
      <c r="G150" s="433">
        <v>0.75</v>
      </c>
      <c r="H150" s="306" t="s">
        <v>68</v>
      </c>
      <c r="I150" s="3"/>
      <c r="J150" s="126"/>
      <c r="K150" s="3"/>
      <c r="L150" s="126"/>
      <c r="M150" s="3"/>
      <c r="N150" s="325"/>
      <c r="O150" s="115"/>
      <c r="P150" s="312"/>
      <c r="Q150" s="132"/>
      <c r="R150" s="132"/>
      <c r="S150" s="137"/>
      <c r="T150" s="342">
        <v>43862</v>
      </c>
    </row>
    <row r="151" spans="1:20" x14ac:dyDescent="0.25">
      <c r="A151" s="42">
        <v>71</v>
      </c>
      <c r="B151" s="472" t="s">
        <v>439</v>
      </c>
      <c r="C151" s="450">
        <v>45</v>
      </c>
      <c r="D151" s="450">
        <v>2</v>
      </c>
      <c r="E151" s="336" t="s">
        <v>584</v>
      </c>
      <c r="F151" s="428">
        <v>43774</v>
      </c>
      <c r="G151" s="433">
        <v>0.62219999999999998</v>
      </c>
      <c r="H151" s="306" t="s">
        <v>68</v>
      </c>
      <c r="I151" s="332" t="s">
        <v>657</v>
      </c>
      <c r="J151" s="472"/>
      <c r="K151" s="332">
        <v>515458.79</v>
      </c>
      <c r="L151" s="473">
        <v>44216</v>
      </c>
      <c r="M151" s="3"/>
      <c r="N151" s="325"/>
      <c r="O151" s="115"/>
      <c r="P151" s="312"/>
      <c r="Q151" s="132"/>
      <c r="R151" s="132"/>
      <c r="S151" s="137"/>
      <c r="T151" s="342">
        <v>43862</v>
      </c>
    </row>
    <row r="152" spans="1:20" x14ac:dyDescent="0.25">
      <c r="A152" s="42">
        <v>72</v>
      </c>
      <c r="B152" s="426" t="s">
        <v>440</v>
      </c>
      <c r="C152" s="450">
        <v>100</v>
      </c>
      <c r="D152" s="450">
        <v>4</v>
      </c>
      <c r="E152" s="336" t="s">
        <v>585</v>
      </c>
      <c r="F152" s="428">
        <v>43740</v>
      </c>
      <c r="G152" s="433">
        <v>0.59</v>
      </c>
      <c r="H152" s="306" t="s">
        <v>68</v>
      </c>
      <c r="I152" s="3"/>
      <c r="J152" s="126"/>
      <c r="K152" s="3"/>
      <c r="L152" s="126"/>
      <c r="M152" s="3"/>
      <c r="N152" s="325"/>
      <c r="O152" s="115"/>
      <c r="P152" s="312"/>
      <c r="Q152" s="132"/>
      <c r="R152" s="132"/>
      <c r="S152" s="137"/>
      <c r="T152" s="342">
        <v>43862</v>
      </c>
    </row>
    <row r="153" spans="1:20" x14ac:dyDescent="0.25">
      <c r="A153" s="42">
        <v>73</v>
      </c>
      <c r="B153" s="426" t="s">
        <v>566</v>
      </c>
      <c r="C153" s="450">
        <v>40</v>
      </c>
      <c r="D153" s="450">
        <v>0</v>
      </c>
      <c r="E153" s="336" t="s">
        <v>586</v>
      </c>
      <c r="F153" s="428">
        <v>43794</v>
      </c>
      <c r="G153" s="433">
        <v>0.7</v>
      </c>
      <c r="H153" s="306" t="s">
        <v>68</v>
      </c>
      <c r="I153" s="3"/>
      <c r="J153" s="126"/>
      <c r="K153" s="3"/>
      <c r="L153" s="126"/>
      <c r="M153" s="3"/>
      <c r="N153" s="325"/>
      <c r="O153" s="115"/>
      <c r="P153" s="312"/>
      <c r="Q153" s="132"/>
      <c r="R153" s="132"/>
      <c r="S153" s="137"/>
      <c r="T153" s="342">
        <v>43862</v>
      </c>
    </row>
    <row r="154" spans="1:20" x14ac:dyDescent="0.25">
      <c r="A154" s="42">
        <v>74</v>
      </c>
      <c r="B154" s="426" t="s">
        <v>558</v>
      </c>
      <c r="C154" s="450">
        <v>40</v>
      </c>
      <c r="D154" s="450">
        <v>4</v>
      </c>
      <c r="E154" s="336" t="s">
        <v>587</v>
      </c>
      <c r="F154" s="428">
        <v>43741</v>
      </c>
      <c r="G154" s="433">
        <v>0.6462</v>
      </c>
      <c r="H154" s="306" t="s">
        <v>68</v>
      </c>
      <c r="I154" s="3"/>
      <c r="J154" s="126"/>
      <c r="K154" s="3"/>
      <c r="L154" s="126"/>
      <c r="M154" s="3"/>
      <c r="N154" s="325"/>
      <c r="O154" s="115"/>
      <c r="P154" s="312"/>
      <c r="Q154" s="132"/>
      <c r="R154" s="132"/>
      <c r="S154" s="137"/>
      <c r="T154" s="342">
        <v>43862</v>
      </c>
    </row>
    <row r="155" spans="1:20" x14ac:dyDescent="0.25">
      <c r="A155" s="42">
        <v>75</v>
      </c>
      <c r="B155" s="472" t="s">
        <v>420</v>
      </c>
      <c r="C155" s="450">
        <v>45</v>
      </c>
      <c r="D155" s="450">
        <v>3</v>
      </c>
      <c r="E155" s="336" t="s">
        <v>588</v>
      </c>
      <c r="F155" s="428">
        <v>43780</v>
      </c>
      <c r="G155" s="433">
        <v>0.66669999999999996</v>
      </c>
      <c r="H155" s="306" t="s">
        <v>68</v>
      </c>
      <c r="I155" s="332" t="s">
        <v>562</v>
      </c>
      <c r="J155" s="472"/>
      <c r="K155" s="332">
        <v>531698.25</v>
      </c>
      <c r="L155" s="473">
        <v>44214</v>
      </c>
      <c r="M155" s="3"/>
      <c r="N155" s="325"/>
      <c r="O155" s="115"/>
      <c r="P155" s="312"/>
      <c r="Q155" s="132"/>
      <c r="R155" s="132"/>
      <c r="S155" s="137"/>
      <c r="T155" s="342">
        <v>43862</v>
      </c>
    </row>
    <row r="156" spans="1:20" x14ac:dyDescent="0.25">
      <c r="A156" s="42">
        <v>76</v>
      </c>
      <c r="B156" s="426" t="s">
        <v>567</v>
      </c>
      <c r="C156" s="450">
        <v>8</v>
      </c>
      <c r="D156" s="450">
        <v>1</v>
      </c>
      <c r="E156" s="336" t="s">
        <v>589</v>
      </c>
      <c r="F156" s="428">
        <v>43845</v>
      </c>
      <c r="G156" s="433">
        <v>0.625</v>
      </c>
      <c r="H156" s="306" t="s">
        <v>68</v>
      </c>
      <c r="I156" s="3"/>
      <c r="J156" s="126"/>
      <c r="K156" s="3"/>
      <c r="L156" s="126"/>
      <c r="M156" s="3"/>
      <c r="N156" s="325"/>
      <c r="O156" s="115"/>
      <c r="P156" s="312"/>
      <c r="Q156" s="132"/>
      <c r="R156" s="132"/>
      <c r="S156" s="137"/>
      <c r="T156" s="342">
        <v>43862</v>
      </c>
    </row>
    <row r="157" spans="1:20" x14ac:dyDescent="0.25">
      <c r="A157" s="42">
        <v>77</v>
      </c>
      <c r="B157" s="426" t="s">
        <v>568</v>
      </c>
      <c r="C157" s="450">
        <v>30</v>
      </c>
      <c r="D157" s="450">
        <v>4</v>
      </c>
      <c r="E157" s="336" t="s">
        <v>590</v>
      </c>
      <c r="F157" s="428">
        <v>43845</v>
      </c>
      <c r="G157" s="433">
        <v>0.76670000000000005</v>
      </c>
      <c r="H157" s="306" t="s">
        <v>68</v>
      </c>
      <c r="I157" s="3"/>
      <c r="J157" s="126"/>
      <c r="K157" s="3"/>
      <c r="L157" s="126"/>
      <c r="M157" s="3"/>
      <c r="N157" s="325"/>
      <c r="O157" s="115"/>
      <c r="P157" s="312"/>
      <c r="Q157" s="132"/>
      <c r="R157" s="132"/>
      <c r="S157" s="137"/>
      <c r="T157" s="342">
        <v>43862</v>
      </c>
    </row>
    <row r="158" spans="1:20" x14ac:dyDescent="0.25">
      <c r="A158" s="42">
        <v>78</v>
      </c>
      <c r="B158" s="472" t="s">
        <v>569</v>
      </c>
      <c r="C158" s="450">
        <v>75</v>
      </c>
      <c r="D158" s="450">
        <v>1</v>
      </c>
      <c r="E158" s="336" t="s">
        <v>591</v>
      </c>
      <c r="F158" s="428">
        <v>43858</v>
      </c>
      <c r="G158" s="433">
        <v>0.57330000000000003</v>
      </c>
      <c r="H158" s="306" t="s">
        <v>68</v>
      </c>
      <c r="I158" s="332" t="s">
        <v>96</v>
      </c>
      <c r="J158" s="472"/>
      <c r="K158" s="332">
        <v>751491.54</v>
      </c>
      <c r="L158" s="473">
        <v>44238</v>
      </c>
      <c r="M158" s="3"/>
      <c r="N158" s="325"/>
      <c r="O158" s="115"/>
      <c r="P158" s="312"/>
      <c r="Q158" s="132"/>
      <c r="R158" s="132"/>
      <c r="S158" s="137"/>
      <c r="T158" s="342">
        <v>43862</v>
      </c>
    </row>
    <row r="159" spans="1:20" x14ac:dyDescent="0.25">
      <c r="A159" s="42">
        <v>79</v>
      </c>
      <c r="B159" s="426" t="s">
        <v>570</v>
      </c>
      <c r="C159" s="450">
        <v>45</v>
      </c>
      <c r="D159" s="450">
        <v>0</v>
      </c>
      <c r="E159" s="336"/>
      <c r="F159" s="428">
        <v>43662</v>
      </c>
      <c r="G159" s="433"/>
      <c r="H159" s="306"/>
      <c r="I159" s="3"/>
      <c r="J159" s="126"/>
      <c r="K159" s="3"/>
      <c r="L159" s="126"/>
      <c r="M159" s="3"/>
      <c r="N159" s="325"/>
      <c r="O159" s="115"/>
      <c r="P159" s="312"/>
      <c r="Q159" s="132"/>
      <c r="R159" s="132"/>
      <c r="S159" s="137"/>
      <c r="T159" s="342"/>
    </row>
    <row r="160" spans="1:20" x14ac:dyDescent="0.25">
      <c r="A160" s="42">
        <v>80</v>
      </c>
      <c r="B160" s="426" t="s">
        <v>571</v>
      </c>
      <c r="C160" s="450">
        <v>45</v>
      </c>
      <c r="D160" s="450">
        <v>0</v>
      </c>
      <c r="E160" s="336" t="s">
        <v>592</v>
      </c>
      <c r="F160" s="428">
        <v>43860</v>
      </c>
      <c r="G160" s="433">
        <v>0.73329999999999995</v>
      </c>
      <c r="H160" s="306" t="s">
        <v>68</v>
      </c>
      <c r="I160" s="3"/>
      <c r="J160" s="126"/>
      <c r="K160" s="3"/>
      <c r="L160" s="126"/>
      <c r="M160" s="3"/>
      <c r="N160" s="325"/>
      <c r="O160" s="115"/>
      <c r="P160" s="312"/>
      <c r="Q160" s="132"/>
      <c r="R160" s="132"/>
      <c r="S160" s="137"/>
      <c r="T160" s="342">
        <v>43862</v>
      </c>
    </row>
    <row r="161" spans="1:20" x14ac:dyDescent="0.25">
      <c r="A161" s="42">
        <v>81</v>
      </c>
      <c r="B161" s="426" t="s">
        <v>572</v>
      </c>
      <c r="C161" s="450">
        <v>6</v>
      </c>
      <c r="D161" s="450">
        <v>1</v>
      </c>
      <c r="E161" s="336" t="s">
        <v>593</v>
      </c>
      <c r="F161" s="428">
        <v>43857</v>
      </c>
      <c r="G161" s="433">
        <v>0.83330000000000004</v>
      </c>
      <c r="H161" s="306" t="s">
        <v>68</v>
      </c>
      <c r="I161" s="3"/>
      <c r="J161" s="126"/>
      <c r="K161" s="3"/>
      <c r="L161" s="126"/>
      <c r="M161" s="3"/>
      <c r="N161" s="325"/>
      <c r="O161" s="115"/>
      <c r="P161" s="312"/>
      <c r="Q161" s="132"/>
      <c r="R161" s="132"/>
      <c r="S161" s="137"/>
      <c r="T161" s="342">
        <v>43862</v>
      </c>
    </row>
    <row r="162" spans="1:20" x14ac:dyDescent="0.25">
      <c r="A162" s="42">
        <v>82</v>
      </c>
      <c r="B162" s="426" t="s">
        <v>438</v>
      </c>
      <c r="C162" s="450">
        <v>100</v>
      </c>
      <c r="D162" s="450">
        <v>5</v>
      </c>
      <c r="E162" s="336"/>
      <c r="F162" s="428"/>
      <c r="G162" s="433"/>
      <c r="H162" s="306"/>
      <c r="I162" s="3"/>
      <c r="J162" s="126"/>
      <c r="K162" s="3"/>
      <c r="L162" s="126"/>
      <c r="M162" s="3"/>
      <c r="N162" s="325"/>
      <c r="O162" s="115"/>
      <c r="P162" s="312"/>
      <c r="Q162" s="132"/>
      <c r="R162" s="132"/>
      <c r="S162" s="137"/>
      <c r="T162" s="342"/>
    </row>
    <row r="163" spans="1:20" x14ac:dyDescent="0.25">
      <c r="A163" s="42">
        <v>83</v>
      </c>
      <c r="B163" s="426" t="s">
        <v>573</v>
      </c>
      <c r="C163" s="450">
        <v>45</v>
      </c>
      <c r="D163" s="450">
        <v>1</v>
      </c>
      <c r="E163" s="336"/>
      <c r="F163" s="428"/>
      <c r="G163" s="433"/>
      <c r="H163" s="306"/>
      <c r="I163" s="3"/>
      <c r="J163" s="126"/>
      <c r="K163" s="3"/>
      <c r="L163" s="126"/>
      <c r="M163" s="3"/>
      <c r="N163" s="325"/>
      <c r="O163" s="115"/>
      <c r="P163" s="312"/>
      <c r="Q163" s="132"/>
      <c r="R163" s="132"/>
      <c r="S163" s="137"/>
      <c r="T163" s="342"/>
    </row>
    <row r="164" spans="1:20" x14ac:dyDescent="0.25">
      <c r="A164" s="336">
        <v>84</v>
      </c>
      <c r="B164" s="472" t="s">
        <v>578</v>
      </c>
      <c r="C164" s="450">
        <v>12</v>
      </c>
      <c r="D164" s="450">
        <v>0</v>
      </c>
      <c r="E164" s="336" t="s">
        <v>594</v>
      </c>
      <c r="F164" s="428">
        <v>43844</v>
      </c>
      <c r="G164" s="433">
        <v>0.83330000000000004</v>
      </c>
      <c r="H164" s="306" t="s">
        <v>68</v>
      </c>
      <c r="I164" s="332" t="s">
        <v>599</v>
      </c>
      <c r="J164" s="472"/>
      <c r="K164" s="332">
        <v>214495.15</v>
      </c>
      <c r="L164" s="473">
        <v>44221</v>
      </c>
      <c r="M164" s="3"/>
      <c r="N164" s="325"/>
      <c r="O164" s="115"/>
      <c r="P164" s="312"/>
      <c r="Q164" s="132"/>
      <c r="R164" s="132"/>
      <c r="S164" s="137"/>
      <c r="T164" s="342">
        <v>43862</v>
      </c>
    </row>
    <row r="165" spans="1:20" x14ac:dyDescent="0.25">
      <c r="A165" s="42">
        <v>85</v>
      </c>
      <c r="B165" s="426" t="s">
        <v>579</v>
      </c>
      <c r="C165" s="450">
        <v>40</v>
      </c>
      <c r="D165" s="450">
        <v>4</v>
      </c>
      <c r="E165" s="336" t="s">
        <v>595</v>
      </c>
      <c r="F165" s="428">
        <v>43857</v>
      </c>
      <c r="G165" s="433">
        <v>0.625</v>
      </c>
      <c r="H165" s="306" t="s">
        <v>68</v>
      </c>
      <c r="I165" s="3"/>
      <c r="J165" s="126"/>
      <c r="K165" s="3"/>
      <c r="L165" s="126"/>
      <c r="M165" s="3"/>
      <c r="N165" s="325"/>
      <c r="O165" s="115"/>
      <c r="P165" s="312"/>
      <c r="Q165" s="132"/>
      <c r="R165" s="132"/>
      <c r="S165" s="137"/>
      <c r="T165" s="342">
        <v>43862</v>
      </c>
    </row>
    <row r="166" spans="1:20" x14ac:dyDescent="0.25">
      <c r="A166" s="42">
        <v>86</v>
      </c>
      <c r="B166" s="426" t="s">
        <v>580</v>
      </c>
      <c r="C166" s="450">
        <v>45</v>
      </c>
      <c r="D166" s="450">
        <v>1</v>
      </c>
      <c r="E166" s="336" t="s">
        <v>596</v>
      </c>
      <c r="F166" s="428">
        <v>43857</v>
      </c>
      <c r="G166" s="433">
        <v>0.73329999999999995</v>
      </c>
      <c r="H166" s="306" t="s">
        <v>68</v>
      </c>
      <c r="I166" s="3"/>
      <c r="J166" s="126"/>
      <c r="K166" s="3"/>
      <c r="L166" s="126"/>
      <c r="M166" s="3"/>
      <c r="N166" s="325"/>
      <c r="O166" s="115"/>
      <c r="P166" s="312"/>
      <c r="Q166" s="132"/>
      <c r="R166" s="132"/>
      <c r="S166" s="137"/>
      <c r="T166" s="342">
        <v>43862</v>
      </c>
    </row>
    <row r="167" spans="1:20" ht="15.75" x14ac:dyDescent="0.25">
      <c r="A167" s="42"/>
      <c r="B167" s="478" t="s">
        <v>555</v>
      </c>
      <c r="C167" s="450"/>
      <c r="D167" s="450"/>
      <c r="E167" s="336"/>
      <c r="F167" s="428"/>
      <c r="G167" s="433"/>
      <c r="H167" s="306"/>
      <c r="I167" s="3"/>
      <c r="J167" s="126"/>
      <c r="K167" s="3"/>
      <c r="L167" s="126"/>
      <c r="M167" s="3"/>
      <c r="N167" s="325"/>
      <c r="O167" s="115"/>
      <c r="P167" s="312"/>
      <c r="Q167" s="132"/>
      <c r="R167" s="132"/>
      <c r="S167" s="137"/>
      <c r="T167" s="342"/>
    </row>
    <row r="168" spans="1:20" x14ac:dyDescent="0.25">
      <c r="A168" s="42">
        <v>87</v>
      </c>
      <c r="B168" s="306" t="s">
        <v>601</v>
      </c>
      <c r="C168" s="115"/>
      <c r="D168" s="102"/>
      <c r="E168" s="3"/>
      <c r="F168" s="264"/>
      <c r="G168" s="186"/>
      <c r="H168" s="306"/>
      <c r="I168" s="3"/>
      <c r="J168" s="126"/>
      <c r="K168" s="3"/>
      <c r="L168" s="126"/>
      <c r="M168" s="3"/>
      <c r="N168" s="325"/>
      <c r="O168" s="115"/>
      <c r="P168" s="312"/>
      <c r="Q168" s="132"/>
      <c r="R168" s="132"/>
      <c r="S168" s="137"/>
      <c r="T168" s="342"/>
    </row>
    <row r="169" spans="1:20" x14ac:dyDescent="0.25">
      <c r="A169" s="42">
        <v>88</v>
      </c>
      <c r="B169" s="306" t="s">
        <v>602</v>
      </c>
      <c r="C169" s="115"/>
      <c r="D169" s="102"/>
      <c r="E169" s="3"/>
      <c r="F169" s="264"/>
      <c r="G169" s="186"/>
      <c r="H169" s="306"/>
      <c r="I169" s="3"/>
      <c r="J169" s="126"/>
      <c r="K169" s="3"/>
      <c r="L169" s="126"/>
      <c r="M169" s="3"/>
      <c r="N169" s="325"/>
      <c r="O169" s="115"/>
      <c r="P169" s="312"/>
      <c r="Q169" s="132"/>
      <c r="R169" s="132"/>
      <c r="S169" s="137"/>
      <c r="T169" s="342"/>
    </row>
    <row r="170" spans="1:20" x14ac:dyDescent="0.25">
      <c r="A170" s="42">
        <v>89</v>
      </c>
      <c r="B170" s="306" t="s">
        <v>603</v>
      </c>
      <c r="C170" s="115"/>
      <c r="D170" s="102"/>
      <c r="E170" s="3"/>
      <c r="F170" s="264"/>
      <c r="G170" s="186"/>
      <c r="H170" s="306"/>
      <c r="I170" s="3"/>
      <c r="J170" s="126"/>
      <c r="K170" s="3"/>
      <c r="L170" s="126"/>
      <c r="M170" s="3"/>
      <c r="N170" s="325"/>
      <c r="O170" s="115"/>
      <c r="P170" s="312"/>
      <c r="Q170" s="132"/>
      <c r="R170" s="132"/>
      <c r="S170" s="137"/>
      <c r="T170" s="342"/>
    </row>
    <row r="171" spans="1:20" x14ac:dyDescent="0.25">
      <c r="A171" s="42">
        <v>90</v>
      </c>
      <c r="B171" s="426" t="s">
        <v>573</v>
      </c>
      <c r="C171" s="115">
        <v>45</v>
      </c>
      <c r="D171" s="102">
        <v>1</v>
      </c>
      <c r="E171" s="3"/>
      <c r="F171" s="264"/>
      <c r="G171" s="186"/>
      <c r="H171" s="306"/>
      <c r="I171" s="3"/>
      <c r="J171" s="126"/>
      <c r="K171" s="3"/>
      <c r="L171" s="126"/>
      <c r="M171" s="3"/>
      <c r="N171" s="325"/>
      <c r="O171" s="115"/>
      <c r="P171" s="312"/>
      <c r="Q171" s="132"/>
      <c r="R171" s="132"/>
      <c r="S171" s="137"/>
      <c r="T171" s="342"/>
    </row>
    <row r="172" spans="1:20" x14ac:dyDescent="0.25">
      <c r="A172" s="42">
        <v>91</v>
      </c>
      <c r="B172" s="426" t="s">
        <v>604</v>
      </c>
      <c r="C172" s="115">
        <v>62</v>
      </c>
      <c r="D172" s="102">
        <v>4</v>
      </c>
      <c r="E172" s="3"/>
      <c r="F172" s="264"/>
      <c r="G172" s="186"/>
      <c r="H172" s="306"/>
      <c r="I172" s="3"/>
      <c r="J172" s="126"/>
      <c r="K172" s="3"/>
      <c r="L172" s="126"/>
      <c r="M172" s="3"/>
      <c r="N172" s="325"/>
      <c r="O172" s="115"/>
      <c r="P172" s="312"/>
      <c r="Q172" s="132"/>
      <c r="R172" s="132"/>
      <c r="S172" s="137"/>
      <c r="T172" s="342"/>
    </row>
    <row r="173" spans="1:20" x14ac:dyDescent="0.25">
      <c r="A173" s="42">
        <v>92</v>
      </c>
      <c r="B173" s="426" t="s">
        <v>605</v>
      </c>
      <c r="C173" s="115">
        <v>45</v>
      </c>
      <c r="D173" s="102">
        <v>0</v>
      </c>
      <c r="E173" s="3"/>
      <c r="F173" s="264"/>
      <c r="G173" s="186"/>
      <c r="H173" s="306"/>
      <c r="I173" s="3"/>
      <c r="J173" s="126"/>
      <c r="K173" s="3"/>
      <c r="L173" s="126"/>
      <c r="M173" s="3"/>
      <c r="N173" s="325"/>
      <c r="O173" s="115"/>
      <c r="P173" s="312"/>
      <c r="Q173" s="132"/>
      <c r="R173" s="132"/>
      <c r="S173" s="137"/>
      <c r="T173" s="342"/>
    </row>
    <row r="174" spans="1:20" x14ac:dyDescent="0.25">
      <c r="A174" s="42">
        <v>93</v>
      </c>
      <c r="B174" s="426" t="s">
        <v>606</v>
      </c>
      <c r="C174" s="115">
        <v>30</v>
      </c>
      <c r="D174" s="102">
        <v>1</v>
      </c>
      <c r="E174" s="3"/>
      <c r="F174" s="264"/>
      <c r="G174" s="186"/>
      <c r="H174" s="306"/>
      <c r="I174" s="3"/>
      <c r="J174" s="126"/>
      <c r="K174" s="3"/>
      <c r="L174" s="126"/>
      <c r="M174" s="3"/>
      <c r="N174" s="325"/>
      <c r="O174" s="115"/>
      <c r="P174" s="312"/>
      <c r="Q174" s="132"/>
      <c r="R174" s="132"/>
      <c r="S174" s="137"/>
      <c r="T174" s="342"/>
    </row>
    <row r="175" spans="1:20" x14ac:dyDescent="0.25">
      <c r="A175" s="42">
        <v>94</v>
      </c>
      <c r="B175" s="426" t="s">
        <v>607</v>
      </c>
      <c r="C175" s="115">
        <v>14</v>
      </c>
      <c r="D175" s="102">
        <v>0</v>
      </c>
      <c r="E175" s="3"/>
      <c r="F175" s="264"/>
      <c r="G175" s="186"/>
      <c r="H175" s="306"/>
      <c r="I175" s="3"/>
      <c r="J175" s="126"/>
      <c r="K175" s="3"/>
      <c r="L175" s="126"/>
      <c r="M175" s="3"/>
      <c r="N175" s="325"/>
      <c r="O175" s="115"/>
      <c r="P175" s="312"/>
      <c r="Q175" s="132"/>
      <c r="R175" s="132"/>
      <c r="S175" s="137"/>
      <c r="T175" s="342"/>
    </row>
    <row r="176" spans="1:20" x14ac:dyDescent="0.25">
      <c r="A176" s="42">
        <v>95</v>
      </c>
      <c r="B176" s="426" t="s">
        <v>636</v>
      </c>
      <c r="C176" s="115"/>
      <c r="D176" s="102"/>
      <c r="E176" s="3"/>
      <c r="F176" s="264"/>
      <c r="G176" s="186"/>
      <c r="H176" s="306"/>
      <c r="I176" s="3"/>
      <c r="J176" s="126"/>
      <c r="K176" s="3"/>
      <c r="L176" s="126"/>
      <c r="M176" s="3"/>
      <c r="N176" s="325"/>
      <c r="O176" s="115"/>
      <c r="P176" s="312"/>
      <c r="Q176" s="132"/>
      <c r="R176" s="132"/>
      <c r="S176" s="137"/>
      <c r="T176" s="342"/>
    </row>
    <row r="177" spans="1:20" x14ac:dyDescent="0.25">
      <c r="A177" s="42">
        <v>96</v>
      </c>
      <c r="B177" s="426" t="s">
        <v>637</v>
      </c>
      <c r="C177" s="115"/>
      <c r="D177" s="102"/>
      <c r="E177" s="3"/>
      <c r="F177" s="264"/>
      <c r="G177" s="186"/>
      <c r="H177" s="306"/>
      <c r="I177" s="3"/>
      <c r="J177" s="126"/>
      <c r="K177" s="3"/>
      <c r="L177" s="126"/>
      <c r="M177" s="3"/>
      <c r="N177" s="325"/>
      <c r="O177" s="115"/>
      <c r="P177" s="312"/>
      <c r="Q177" s="132"/>
      <c r="R177" s="132"/>
      <c r="S177" s="137"/>
      <c r="T177" s="342"/>
    </row>
    <row r="178" spans="1:20" x14ac:dyDescent="0.25">
      <c r="A178" s="42">
        <v>97</v>
      </c>
      <c r="B178" s="426" t="s">
        <v>638</v>
      </c>
      <c r="C178" s="115"/>
      <c r="D178" s="102"/>
      <c r="E178" s="3"/>
      <c r="F178" s="264"/>
      <c r="G178" s="186"/>
      <c r="H178" s="306"/>
      <c r="I178" s="3"/>
      <c r="J178" s="126"/>
      <c r="K178" s="3"/>
      <c r="L178" s="126"/>
      <c r="M178" s="3"/>
      <c r="N178" s="325"/>
      <c r="O178" s="115"/>
      <c r="P178" s="312"/>
      <c r="Q178" s="132"/>
      <c r="R178" s="132"/>
      <c r="S178" s="137"/>
      <c r="T178" s="342"/>
    </row>
    <row r="179" spans="1:20" x14ac:dyDescent="0.25">
      <c r="A179" s="42">
        <v>98</v>
      </c>
      <c r="B179" s="426" t="s">
        <v>639</v>
      </c>
      <c r="C179" s="115"/>
      <c r="D179" s="102"/>
      <c r="E179" s="3"/>
      <c r="F179" s="264"/>
      <c r="G179" s="186"/>
      <c r="H179" s="306"/>
      <c r="I179" s="3"/>
      <c r="J179" s="126"/>
      <c r="K179" s="3"/>
      <c r="L179" s="126"/>
      <c r="M179" s="3"/>
      <c r="N179" s="325"/>
      <c r="O179" s="115"/>
      <c r="P179" s="312"/>
      <c r="Q179" s="132"/>
      <c r="R179" s="132"/>
      <c r="S179" s="137"/>
      <c r="T179" s="342"/>
    </row>
    <row r="180" spans="1:20" x14ac:dyDescent="0.25">
      <c r="A180" s="42">
        <v>99</v>
      </c>
      <c r="B180" s="426" t="s">
        <v>640</v>
      </c>
      <c r="C180" s="115"/>
      <c r="D180" s="102"/>
      <c r="E180" s="3"/>
      <c r="F180" s="264"/>
      <c r="G180" s="186"/>
      <c r="H180" s="306"/>
      <c r="I180" s="3"/>
      <c r="J180" s="126"/>
      <c r="K180" s="3"/>
      <c r="L180" s="126"/>
      <c r="M180" s="3"/>
      <c r="N180" s="325"/>
      <c r="O180" s="115"/>
      <c r="P180" s="312"/>
      <c r="Q180" s="132"/>
      <c r="R180" s="132"/>
      <c r="S180" s="137"/>
      <c r="T180" s="342"/>
    </row>
    <row r="181" spans="1:20" x14ac:dyDescent="0.25">
      <c r="A181" s="42">
        <v>100</v>
      </c>
      <c r="B181" s="426" t="s">
        <v>641</v>
      </c>
      <c r="C181" s="115"/>
      <c r="D181" s="102"/>
      <c r="E181" s="3"/>
      <c r="F181" s="264"/>
      <c r="G181" s="186"/>
      <c r="H181" s="306"/>
      <c r="I181" s="3"/>
      <c r="J181" s="126"/>
      <c r="K181" s="3"/>
      <c r="L181" s="126"/>
      <c r="M181" s="3"/>
      <c r="N181" s="325"/>
      <c r="O181" s="115"/>
      <c r="P181" s="312"/>
      <c r="Q181" s="132"/>
      <c r="R181" s="132"/>
      <c r="S181" s="137"/>
      <c r="T181" s="342"/>
    </row>
    <row r="182" spans="1:20" x14ac:dyDescent="0.25">
      <c r="A182" s="42">
        <v>101</v>
      </c>
      <c r="B182" s="426" t="s">
        <v>642</v>
      </c>
      <c r="C182" s="115"/>
      <c r="D182" s="102"/>
      <c r="E182" s="3"/>
      <c r="F182" s="264"/>
      <c r="G182" s="186"/>
      <c r="H182" s="306"/>
      <c r="I182" s="3"/>
      <c r="J182" s="126"/>
      <c r="K182" s="3"/>
      <c r="L182" s="126"/>
      <c r="M182" s="3"/>
      <c r="N182" s="325"/>
      <c r="O182" s="115"/>
      <c r="P182" s="312"/>
      <c r="Q182" s="132"/>
      <c r="R182" s="132"/>
      <c r="S182" s="137"/>
      <c r="T182" s="342"/>
    </row>
    <row r="183" spans="1:20" x14ac:dyDescent="0.25">
      <c r="A183" s="42">
        <v>102</v>
      </c>
      <c r="B183" s="426" t="s">
        <v>643</v>
      </c>
      <c r="C183" s="115"/>
      <c r="D183" s="102"/>
      <c r="E183" s="3"/>
      <c r="F183" s="264"/>
      <c r="G183" s="186"/>
      <c r="H183" s="306"/>
      <c r="I183" s="3"/>
      <c r="J183" s="126"/>
      <c r="K183" s="3"/>
      <c r="L183" s="126"/>
      <c r="M183" s="3"/>
      <c r="N183" s="325"/>
      <c r="O183" s="115"/>
      <c r="P183" s="312"/>
      <c r="Q183" s="132"/>
      <c r="R183" s="132"/>
      <c r="S183" s="137"/>
      <c r="T183" s="342"/>
    </row>
    <row r="184" spans="1:20" x14ac:dyDescent="0.25">
      <c r="A184" s="42">
        <v>103</v>
      </c>
      <c r="B184" s="426" t="s">
        <v>644</v>
      </c>
      <c r="C184" s="115"/>
      <c r="D184" s="102"/>
      <c r="E184" s="3"/>
      <c r="F184" s="264"/>
      <c r="G184" s="186"/>
      <c r="H184" s="306"/>
      <c r="I184" s="3"/>
      <c r="J184" s="126"/>
      <c r="K184" s="3"/>
      <c r="L184" s="126"/>
      <c r="M184" s="3"/>
      <c r="N184" s="325"/>
      <c r="O184" s="115"/>
      <c r="P184" s="312"/>
      <c r="Q184" s="132"/>
      <c r="R184" s="132"/>
      <c r="S184" s="137"/>
      <c r="T184" s="342"/>
    </row>
    <row r="185" spans="1:20" x14ac:dyDescent="0.25">
      <c r="A185" s="42">
        <v>104</v>
      </c>
      <c r="B185" s="426" t="s">
        <v>456</v>
      </c>
      <c r="C185" s="115"/>
      <c r="D185" s="102"/>
      <c r="E185" s="3"/>
      <c r="F185" s="264"/>
      <c r="G185" s="186"/>
      <c r="H185" s="306"/>
      <c r="I185" s="3"/>
      <c r="J185" s="126"/>
      <c r="K185" s="3"/>
      <c r="L185" s="126"/>
      <c r="M185" s="3"/>
      <c r="N185" s="325"/>
      <c r="O185" s="115"/>
      <c r="P185" s="312"/>
      <c r="Q185" s="132"/>
      <c r="R185" s="132"/>
      <c r="S185" s="137"/>
      <c r="T185" s="342"/>
    </row>
    <row r="186" spans="1:20" x14ac:dyDescent="0.25">
      <c r="A186" s="42">
        <v>105</v>
      </c>
      <c r="B186" s="426" t="s">
        <v>398</v>
      </c>
      <c r="C186" s="115"/>
      <c r="D186" s="102"/>
      <c r="E186" s="3"/>
      <c r="F186" s="264"/>
      <c r="G186" s="186"/>
      <c r="H186" s="306"/>
      <c r="I186" s="3"/>
      <c r="J186" s="126"/>
      <c r="K186" s="3"/>
      <c r="L186" s="126"/>
      <c r="M186" s="3"/>
      <c r="N186" s="325"/>
      <c r="O186" s="115"/>
      <c r="P186" s="312"/>
      <c r="Q186" s="132"/>
      <c r="R186" s="132"/>
      <c r="S186" s="137"/>
      <c r="T186" s="342"/>
    </row>
    <row r="187" spans="1:20" x14ac:dyDescent="0.25">
      <c r="A187" s="42">
        <v>106</v>
      </c>
      <c r="B187" s="426" t="s">
        <v>645</v>
      </c>
      <c r="C187" s="115"/>
      <c r="D187" s="102"/>
      <c r="E187" s="3"/>
      <c r="F187" s="264"/>
      <c r="G187" s="186"/>
      <c r="H187" s="306"/>
      <c r="I187" s="3"/>
      <c r="J187" s="126"/>
      <c r="K187" s="3"/>
      <c r="L187" s="126"/>
      <c r="M187" s="3"/>
      <c r="N187" s="325"/>
      <c r="O187" s="115"/>
      <c r="P187" s="312"/>
      <c r="Q187" s="132"/>
      <c r="R187" s="132"/>
      <c r="S187" s="137"/>
      <c r="T187" s="342"/>
    </row>
    <row r="188" spans="1:20" x14ac:dyDescent="0.25">
      <c r="A188" s="42">
        <v>107</v>
      </c>
      <c r="B188" s="426" t="s">
        <v>433</v>
      </c>
      <c r="C188" s="115"/>
      <c r="D188" s="102"/>
      <c r="E188" s="3"/>
      <c r="F188" s="264"/>
      <c r="G188" s="186"/>
      <c r="H188" s="306"/>
      <c r="I188" s="3"/>
      <c r="J188" s="126"/>
      <c r="K188" s="3"/>
      <c r="L188" s="126"/>
      <c r="M188" s="3"/>
      <c r="N188" s="325"/>
      <c r="O188" s="115"/>
      <c r="P188" s="312"/>
      <c r="Q188" s="132"/>
      <c r="R188" s="132"/>
      <c r="S188" s="137"/>
      <c r="T188" s="342"/>
    </row>
    <row r="189" spans="1:20" x14ac:dyDescent="0.25">
      <c r="A189" s="42">
        <v>108</v>
      </c>
      <c r="B189" s="426" t="s">
        <v>646</v>
      </c>
      <c r="C189" s="115"/>
      <c r="D189" s="102"/>
      <c r="E189" s="3"/>
      <c r="F189" s="264"/>
      <c r="G189" s="186"/>
      <c r="H189" s="306"/>
      <c r="I189" s="3"/>
      <c r="J189" s="126"/>
      <c r="K189" s="3"/>
      <c r="L189" s="126"/>
      <c r="M189" s="3"/>
      <c r="N189" s="325"/>
      <c r="O189" s="115"/>
      <c r="P189" s="312"/>
      <c r="Q189" s="132"/>
      <c r="R189" s="132"/>
      <c r="S189" s="137"/>
      <c r="T189" s="342"/>
    </row>
    <row r="190" spans="1:20" x14ac:dyDescent="0.25">
      <c r="A190" s="42">
        <v>109</v>
      </c>
      <c r="B190" s="426" t="s">
        <v>647</v>
      </c>
      <c r="C190" s="115"/>
      <c r="D190" s="102"/>
      <c r="E190" s="3"/>
      <c r="F190" s="264"/>
      <c r="G190" s="186"/>
      <c r="H190" s="306"/>
      <c r="I190" s="3"/>
      <c r="J190" s="126"/>
      <c r="K190" s="3"/>
      <c r="L190" s="126"/>
      <c r="M190" s="3"/>
      <c r="N190" s="325"/>
      <c r="O190" s="115"/>
      <c r="P190" s="312"/>
      <c r="Q190" s="132"/>
      <c r="R190" s="132"/>
      <c r="S190" s="137"/>
      <c r="T190" s="342"/>
    </row>
    <row r="191" spans="1:20" x14ac:dyDescent="0.25">
      <c r="A191" s="42">
        <v>110</v>
      </c>
      <c r="B191" s="426" t="s">
        <v>648</v>
      </c>
      <c r="C191" s="115"/>
      <c r="D191" s="102"/>
      <c r="E191" s="3"/>
      <c r="F191" s="264"/>
      <c r="G191" s="186"/>
      <c r="H191" s="306"/>
      <c r="I191" s="3"/>
      <c r="J191" s="126"/>
      <c r="K191" s="3"/>
      <c r="L191" s="126"/>
      <c r="M191" s="3"/>
      <c r="N191" s="325"/>
      <c r="O191" s="115"/>
      <c r="P191" s="312"/>
      <c r="Q191" s="132"/>
      <c r="R191" s="132"/>
      <c r="S191" s="137"/>
      <c r="T191" s="342"/>
    </row>
    <row r="192" spans="1:20" x14ac:dyDescent="0.25">
      <c r="A192" s="42">
        <v>111</v>
      </c>
      <c r="B192" s="426" t="s">
        <v>649</v>
      </c>
      <c r="C192" s="115"/>
      <c r="D192" s="102"/>
      <c r="E192" s="3"/>
      <c r="F192" s="264"/>
      <c r="G192" s="186"/>
      <c r="H192" s="306"/>
      <c r="I192" s="3"/>
      <c r="J192" s="126"/>
      <c r="K192" s="3"/>
      <c r="L192" s="126"/>
      <c r="M192" s="3"/>
      <c r="N192" s="325"/>
      <c r="O192" s="115"/>
      <c r="P192" s="312"/>
      <c r="Q192" s="132"/>
      <c r="R192" s="132"/>
      <c r="S192" s="137"/>
      <c r="T192" s="342"/>
    </row>
    <row r="193" spans="1:20" x14ac:dyDescent="0.25">
      <c r="A193" s="42">
        <v>112</v>
      </c>
      <c r="B193" s="426" t="s">
        <v>650</v>
      </c>
      <c r="C193" s="115"/>
      <c r="D193" s="102"/>
      <c r="E193" s="3"/>
      <c r="F193" s="264"/>
      <c r="G193" s="186"/>
      <c r="H193" s="306"/>
      <c r="I193" s="3"/>
      <c r="J193" s="126"/>
      <c r="K193" s="3"/>
      <c r="L193" s="126"/>
      <c r="M193" s="3"/>
      <c r="N193" s="325"/>
      <c r="O193" s="115"/>
      <c r="P193" s="312"/>
      <c r="Q193" s="132"/>
      <c r="R193" s="132"/>
      <c r="S193" s="137"/>
      <c r="T193" s="342"/>
    </row>
    <row r="194" spans="1:20" x14ac:dyDescent="0.25">
      <c r="A194" s="42">
        <v>113</v>
      </c>
      <c r="B194" s="426" t="s">
        <v>651</v>
      </c>
      <c r="C194" s="115"/>
      <c r="D194" s="102"/>
      <c r="E194" s="3"/>
      <c r="F194" s="264"/>
      <c r="G194" s="186"/>
      <c r="H194" s="306"/>
      <c r="I194" s="3"/>
      <c r="J194" s="126"/>
      <c r="K194" s="3"/>
      <c r="L194" s="126"/>
      <c r="M194" s="3"/>
      <c r="N194" s="325"/>
      <c r="O194" s="115"/>
      <c r="P194" s="312"/>
      <c r="Q194" s="132"/>
      <c r="R194" s="132"/>
      <c r="S194" s="137"/>
      <c r="T194" s="342"/>
    </row>
    <row r="195" spans="1:20" x14ac:dyDescent="0.25">
      <c r="A195" s="42">
        <v>114</v>
      </c>
      <c r="B195" s="426" t="s">
        <v>652</v>
      </c>
      <c r="C195" s="115"/>
      <c r="D195" s="102"/>
      <c r="E195" s="3"/>
      <c r="F195" s="264"/>
      <c r="G195" s="186"/>
      <c r="H195" s="306"/>
      <c r="I195" s="3"/>
      <c r="J195" s="126"/>
      <c r="K195" s="3"/>
      <c r="L195" s="126"/>
      <c r="M195" s="3"/>
      <c r="N195" s="325"/>
      <c r="O195" s="115"/>
      <c r="P195" s="312"/>
      <c r="Q195" s="132"/>
      <c r="R195" s="132"/>
      <c r="S195" s="137"/>
      <c r="T195" s="342"/>
    </row>
    <row r="196" spans="1:20" x14ac:dyDescent="0.25">
      <c r="A196" s="42">
        <v>115</v>
      </c>
      <c r="B196" s="426" t="s">
        <v>653</v>
      </c>
      <c r="C196" s="115"/>
      <c r="D196" s="102"/>
      <c r="E196" s="3"/>
      <c r="F196" s="264"/>
      <c r="G196" s="186"/>
      <c r="H196" s="306"/>
      <c r="I196" s="3"/>
      <c r="J196" s="126"/>
      <c r="K196" s="3"/>
      <c r="L196" s="126"/>
      <c r="M196" s="3"/>
      <c r="N196" s="325"/>
      <c r="O196" s="115"/>
      <c r="P196" s="312"/>
      <c r="Q196" s="132"/>
      <c r="R196" s="132"/>
      <c r="S196" s="137"/>
      <c r="T196" s="342"/>
    </row>
    <row r="197" spans="1:20" x14ac:dyDescent="0.25">
      <c r="A197" s="42">
        <v>116</v>
      </c>
      <c r="B197" s="426" t="s">
        <v>654</v>
      </c>
      <c r="C197" s="115"/>
      <c r="D197" s="102"/>
      <c r="E197" s="3"/>
      <c r="F197" s="264"/>
      <c r="G197" s="186"/>
      <c r="H197" s="306"/>
      <c r="I197" s="3"/>
      <c r="J197" s="126"/>
      <c r="K197" s="3"/>
      <c r="L197" s="126"/>
      <c r="M197" s="3"/>
      <c r="N197" s="325"/>
      <c r="O197" s="115"/>
      <c r="P197" s="312"/>
      <c r="Q197" s="132"/>
      <c r="R197" s="132"/>
      <c r="S197" s="137"/>
      <c r="T197" s="342"/>
    </row>
    <row r="198" spans="1:20" x14ac:dyDescent="0.25">
      <c r="A198" s="42">
        <v>117</v>
      </c>
      <c r="B198" s="426" t="s">
        <v>655</v>
      </c>
      <c r="C198" s="115"/>
      <c r="D198" s="102"/>
      <c r="E198" s="3"/>
      <c r="F198" s="264"/>
      <c r="G198" s="186"/>
      <c r="H198" s="306"/>
      <c r="I198" s="3"/>
      <c r="J198" s="126"/>
      <c r="K198" s="3"/>
      <c r="L198" s="126"/>
      <c r="M198" s="3"/>
      <c r="N198" s="325"/>
      <c r="O198" s="115"/>
      <c r="P198" s="312"/>
      <c r="Q198" s="132"/>
      <c r="R198" s="132"/>
      <c r="S198" s="137"/>
      <c r="T198" s="342"/>
    </row>
    <row r="199" spans="1:20" x14ac:dyDescent="0.25">
      <c r="A199" s="42">
        <v>118</v>
      </c>
      <c r="B199" s="426" t="s">
        <v>656</v>
      </c>
      <c r="C199" s="115"/>
      <c r="D199" s="102"/>
      <c r="E199" s="3"/>
      <c r="F199" s="264"/>
      <c r="G199" s="186"/>
      <c r="H199" s="306"/>
      <c r="I199" s="3"/>
      <c r="J199" s="126"/>
      <c r="K199" s="3"/>
      <c r="L199" s="126"/>
      <c r="M199" s="3"/>
      <c r="N199" s="325"/>
      <c r="O199" s="115"/>
      <c r="P199" s="312"/>
      <c r="Q199" s="132"/>
      <c r="R199" s="132"/>
      <c r="S199" s="137"/>
      <c r="T199" s="342"/>
    </row>
    <row r="200" spans="1:20" x14ac:dyDescent="0.25">
      <c r="A200" s="42"/>
      <c r="B200" s="306"/>
      <c r="C200" s="115"/>
      <c r="D200" s="102"/>
      <c r="E200" s="3"/>
      <c r="F200" s="264"/>
      <c r="G200" s="186"/>
      <c r="H200" s="126"/>
      <c r="I200" s="3"/>
      <c r="J200" s="126"/>
      <c r="K200" s="3"/>
      <c r="L200" s="126"/>
      <c r="M200" s="3"/>
      <c r="N200" s="325"/>
      <c r="O200" s="115" t="s">
        <v>376</v>
      </c>
      <c r="P200" s="312"/>
      <c r="Q200" s="132"/>
      <c r="R200" s="132"/>
      <c r="S200" s="137"/>
    </row>
    <row r="201" spans="1:20" x14ac:dyDescent="0.25">
      <c r="A201" s="119"/>
      <c r="B201" s="47"/>
      <c r="C201" s="2">
        <f>SUM(C78:C170)</f>
        <v>3786</v>
      </c>
      <c r="D201" s="2">
        <f>SUM(D78:D200)</f>
        <v>128</v>
      </c>
      <c r="G201" s="2">
        <f>COUNTIF(G78:G200,"&gt;0,5")</f>
        <v>81</v>
      </c>
      <c r="H201" s="2">
        <f>COUNTIF(H78:H200,"Taip")</f>
        <v>80</v>
      </c>
      <c r="I201" s="2">
        <f>COUNTA(I78:I200)</f>
        <v>63</v>
      </c>
      <c r="J201" s="52">
        <f>SUM(J78:J200)</f>
        <v>13329949.735579517</v>
      </c>
      <c r="K201" s="52">
        <f>SUM(K78:K200)</f>
        <v>26056626.508399993</v>
      </c>
      <c r="L201" s="2">
        <f>COUNTIF(L78:L106,"Taip")</f>
        <v>0</v>
      </c>
      <c r="M201" s="2">
        <f>COUNTA(M78:M200)</f>
        <v>35</v>
      </c>
      <c r="N201" s="2">
        <f>COUNTIF(N78:N200,"Taip")</f>
        <v>28</v>
      </c>
    </row>
    <row r="202" spans="1:20" x14ac:dyDescent="0.25">
      <c r="B202" s="47"/>
      <c r="K202" s="52"/>
    </row>
    <row r="203" spans="1:20" x14ac:dyDescent="0.25">
      <c r="B203" s="83" t="s">
        <v>110</v>
      </c>
      <c r="C203" s="82">
        <f>C35+C55+C75+C201</f>
        <v>6996</v>
      </c>
      <c r="D203" s="82">
        <f>D35+D55+D75+D201</f>
        <v>344</v>
      </c>
      <c r="E203" s="82"/>
      <c r="F203" s="82"/>
      <c r="G203" s="58" t="s">
        <v>413</v>
      </c>
      <c r="H203" s="58" t="s">
        <v>414</v>
      </c>
      <c r="I203" s="58" t="s">
        <v>410</v>
      </c>
      <c r="J203" s="58" t="s">
        <v>411</v>
      </c>
      <c r="K203" s="58" t="s">
        <v>412</v>
      </c>
      <c r="L203" s="58"/>
      <c r="M203" s="58" t="s">
        <v>408</v>
      </c>
      <c r="N203" s="58" t="s">
        <v>409</v>
      </c>
    </row>
    <row r="204" spans="1:20" x14ac:dyDescent="0.25">
      <c r="A204" s="352">
        <f>A34+A54+A74+A200</f>
        <v>66</v>
      </c>
      <c r="B204" s="85" t="s">
        <v>222</v>
      </c>
      <c r="C204" s="58">
        <f>SUMIF($H$3:$H$166,"Taip",C3:C166)</f>
        <v>6621</v>
      </c>
      <c r="D204" s="58">
        <f>SUMIF($H$3:$H$200,"Taip",D3:D201)</f>
        <v>239</v>
      </c>
      <c r="E204" s="58"/>
      <c r="F204" s="58"/>
      <c r="G204" s="82">
        <f>G35+G55+G75+G201</f>
        <v>147</v>
      </c>
      <c r="H204" s="82">
        <f>H35+H55+H75+H201</f>
        <v>143</v>
      </c>
      <c r="I204" s="82">
        <f>I35+I55+I75+I201</f>
        <v>126</v>
      </c>
      <c r="J204" s="84">
        <f>J35+J55+J75+J201</f>
        <v>88414421.174776316</v>
      </c>
      <c r="K204" s="84">
        <f>K35+K55+K75+K201</f>
        <v>48476358.136851341</v>
      </c>
      <c r="L204" s="101"/>
      <c r="M204" s="101">
        <f>M35+M55+M75+M201</f>
        <v>98</v>
      </c>
      <c r="N204" s="101">
        <f>N35+N55+N75+N201</f>
        <v>90</v>
      </c>
    </row>
    <row r="205" spans="1:20" x14ac:dyDescent="0.25">
      <c r="A205" s="364">
        <f>A204-1</f>
        <v>65</v>
      </c>
      <c r="B205" s="58" t="s">
        <v>492</v>
      </c>
      <c r="C205" s="58">
        <f>C204-C7</f>
        <v>6601</v>
      </c>
      <c r="D205" s="58">
        <f>D204-D7</f>
        <v>239</v>
      </c>
      <c r="E205" s="58"/>
      <c r="F205" s="58"/>
      <c r="G205" s="58">
        <f>G204-1</f>
        <v>146</v>
      </c>
      <c r="H205" s="58">
        <f>H204-1</f>
        <v>142</v>
      </c>
      <c r="I205" s="58">
        <f>I204-1</f>
        <v>125</v>
      </c>
      <c r="J205" s="84">
        <f>J204-J7</f>
        <v>87423872.34652032</v>
      </c>
      <c r="K205" s="84">
        <f>K204-K7</f>
        <v>48189475.366851337</v>
      </c>
      <c r="L205" s="58"/>
      <c r="M205" s="108">
        <f>M204-1</f>
        <v>97</v>
      </c>
      <c r="N205" s="108">
        <f>N204-1</f>
        <v>89</v>
      </c>
    </row>
    <row r="206" spans="1:20" x14ac:dyDescent="0.25">
      <c r="B206" s="47"/>
      <c r="G206" s="288"/>
      <c r="H206" s="288"/>
      <c r="I206" s="288"/>
      <c r="J206" s="288"/>
      <c r="K206" s="288"/>
      <c r="L206" s="288"/>
      <c r="M206" s="288"/>
      <c r="N206" s="288"/>
    </row>
    <row r="207" spans="1:20" x14ac:dyDescent="0.25">
      <c r="A207" s="1"/>
    </row>
  </sheetData>
  <mergeCells count="3">
    <mergeCell ref="A1:B1"/>
    <mergeCell ref="A36:B36"/>
    <mergeCell ref="A56:B56"/>
  </mergeCells>
  <phoneticPr fontId="24" type="noConversion"/>
  <pageMargins left="0.7" right="0.7" top="0.75" bottom="0.75" header="0.3" footer="0.3"/>
  <pageSetup paperSize="9" scale="80" fitToHeight="0" orientation="landscape" r:id="rId1"/>
  <rowBreaks count="3" manualBreakCount="3">
    <brk id="35" max="18" man="1"/>
    <brk id="75" max="18" man="1"/>
    <brk id="20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6"/>
  <sheetViews>
    <sheetView topLeftCell="A28" workbookViewId="0">
      <selection activeCell="K67" sqref="K67"/>
    </sheetView>
  </sheetViews>
  <sheetFormatPr defaultRowHeight="15" x14ac:dyDescent="0.25"/>
  <cols>
    <col min="1" max="1" width="4.28515625" style="2" customWidth="1"/>
    <col min="2" max="2" width="24.140625" style="2" customWidth="1"/>
    <col min="3" max="3" width="7.85546875" style="2" customWidth="1"/>
    <col min="4" max="4" width="9.140625" style="2" customWidth="1"/>
    <col min="5" max="5" width="9.5703125" style="2" hidden="1" customWidth="1"/>
    <col min="6" max="6" width="10.5703125" style="2" customWidth="1"/>
    <col min="7" max="7" width="10.42578125" style="2" customWidth="1"/>
    <col min="8" max="8" width="7.28515625" style="2" customWidth="1"/>
    <col min="11" max="11" width="9.28515625" customWidth="1"/>
  </cols>
  <sheetData>
    <row r="1" spans="1:15" ht="16.5" thickBot="1" x14ac:dyDescent="0.3">
      <c r="D1" s="90" t="s">
        <v>396</v>
      </c>
      <c r="G1" s="90"/>
    </row>
    <row r="2" spans="1:15" ht="39" thickBot="1" x14ac:dyDescent="0.3">
      <c r="A2" s="225" t="s">
        <v>0</v>
      </c>
      <c r="B2" s="247" t="s">
        <v>1</v>
      </c>
      <c r="C2" s="247" t="s">
        <v>94</v>
      </c>
      <c r="D2" s="247" t="s">
        <v>95</v>
      </c>
      <c r="E2" s="247" t="s">
        <v>102</v>
      </c>
      <c r="F2" s="247" t="s">
        <v>2</v>
      </c>
      <c r="G2" s="247" t="s">
        <v>69</v>
      </c>
      <c r="H2" s="247" t="s">
        <v>3</v>
      </c>
      <c r="I2" s="248" t="s">
        <v>73</v>
      </c>
      <c r="J2" s="248" t="s">
        <v>379</v>
      </c>
      <c r="K2" s="248" t="s">
        <v>380</v>
      </c>
    </row>
    <row r="3" spans="1:15" x14ac:dyDescent="0.25">
      <c r="A3" s="22">
        <v>1</v>
      </c>
      <c r="B3" s="103" t="s">
        <v>54</v>
      </c>
      <c r="C3" s="103">
        <v>65</v>
      </c>
      <c r="D3" s="124">
        <v>5</v>
      </c>
      <c r="E3" s="103" t="s">
        <v>137</v>
      </c>
      <c r="F3" s="201">
        <v>41606</v>
      </c>
      <c r="G3" s="202">
        <f>38/65</f>
        <v>0.58461538461538465</v>
      </c>
      <c r="H3" s="103" t="s">
        <v>68</v>
      </c>
      <c r="I3" s="73" t="s">
        <v>68</v>
      </c>
      <c r="J3" s="144" t="s">
        <v>68</v>
      </c>
      <c r="K3" s="103" t="s">
        <v>68</v>
      </c>
      <c r="M3" s="1"/>
      <c r="N3" s="1"/>
      <c r="O3" s="1"/>
    </row>
    <row r="4" spans="1:15" x14ac:dyDescent="0.25">
      <c r="A4" s="22">
        <v>2</v>
      </c>
      <c r="B4" s="73" t="s">
        <v>87</v>
      </c>
      <c r="C4" s="73">
        <v>45</v>
      </c>
      <c r="D4" s="89">
        <v>1</v>
      </c>
      <c r="E4" s="193" t="s">
        <v>204</v>
      </c>
      <c r="F4" s="128">
        <v>41969</v>
      </c>
      <c r="G4" s="186">
        <f>25/C4</f>
        <v>0.55555555555555558</v>
      </c>
      <c r="H4" s="73" t="s">
        <v>68</v>
      </c>
      <c r="I4" s="73" t="s">
        <v>68</v>
      </c>
      <c r="J4" s="144" t="s">
        <v>68</v>
      </c>
      <c r="K4" s="73" t="s">
        <v>68</v>
      </c>
      <c r="M4" s="1"/>
      <c r="N4" s="47"/>
      <c r="O4" s="1"/>
    </row>
    <row r="5" spans="1:15" x14ac:dyDescent="0.25">
      <c r="A5" s="22">
        <v>3</v>
      </c>
      <c r="B5" s="73" t="s">
        <v>382</v>
      </c>
      <c r="C5" s="73">
        <v>45</v>
      </c>
      <c r="D5" s="89">
        <v>0</v>
      </c>
      <c r="E5" s="77" t="s">
        <v>159</v>
      </c>
      <c r="F5" s="128">
        <v>41940</v>
      </c>
      <c r="G5" s="186">
        <f>26/C5</f>
        <v>0.57777777777777772</v>
      </c>
      <c r="H5" s="73" t="s">
        <v>68</v>
      </c>
      <c r="I5" s="73" t="s">
        <v>68</v>
      </c>
      <c r="J5" s="203" t="s">
        <v>68</v>
      </c>
      <c r="K5" s="73" t="s">
        <v>68</v>
      </c>
      <c r="M5" s="1"/>
      <c r="N5" s="1"/>
      <c r="O5" s="1"/>
    </row>
    <row r="6" spans="1:15" x14ac:dyDescent="0.25">
      <c r="A6" s="22">
        <v>4</v>
      </c>
      <c r="B6" s="73" t="s">
        <v>383</v>
      </c>
      <c r="C6" s="73">
        <v>45</v>
      </c>
      <c r="D6" s="89">
        <v>0</v>
      </c>
      <c r="E6" s="73" t="s">
        <v>156</v>
      </c>
      <c r="F6" s="128">
        <v>41663</v>
      </c>
      <c r="G6" s="166">
        <f>32/45</f>
        <v>0.71111111111111114</v>
      </c>
      <c r="H6" s="77" t="s">
        <v>68</v>
      </c>
      <c r="I6" s="77" t="s">
        <v>68</v>
      </c>
      <c r="J6" s="198" t="s">
        <v>68</v>
      </c>
      <c r="K6" s="73" t="s">
        <v>68</v>
      </c>
    </row>
    <row r="7" spans="1:15" x14ac:dyDescent="0.25">
      <c r="A7" s="22">
        <v>5</v>
      </c>
      <c r="B7" s="73" t="s">
        <v>81</v>
      </c>
      <c r="C7" s="73">
        <v>75</v>
      </c>
      <c r="D7" s="89">
        <v>1</v>
      </c>
      <c r="E7" s="193" t="s">
        <v>200</v>
      </c>
      <c r="F7" s="128">
        <v>41906</v>
      </c>
      <c r="G7" s="186">
        <f>46/C7</f>
        <v>0.61333333333333329</v>
      </c>
      <c r="H7" s="73" t="s">
        <v>68</v>
      </c>
      <c r="I7" s="73" t="s">
        <v>68</v>
      </c>
      <c r="J7" s="144" t="s">
        <v>68</v>
      </c>
      <c r="K7" s="203" t="s">
        <v>68</v>
      </c>
    </row>
    <row r="8" spans="1:15" x14ac:dyDescent="0.25">
      <c r="A8" s="22">
        <v>6</v>
      </c>
      <c r="B8" s="73" t="s">
        <v>103</v>
      </c>
      <c r="C8" s="73">
        <v>45</v>
      </c>
      <c r="D8" s="89">
        <v>0</v>
      </c>
      <c r="E8" s="73" t="s">
        <v>213</v>
      </c>
      <c r="F8" s="142">
        <v>42170</v>
      </c>
      <c r="G8" s="199">
        <f>29/C8</f>
        <v>0.64444444444444449</v>
      </c>
      <c r="H8" s="73" t="s">
        <v>68</v>
      </c>
      <c r="I8" s="73" t="s">
        <v>68</v>
      </c>
      <c r="J8" s="232" t="s">
        <v>68</v>
      </c>
      <c r="K8" s="7" t="s">
        <v>68</v>
      </c>
    </row>
    <row r="9" spans="1:15" x14ac:dyDescent="0.25">
      <c r="A9" s="22">
        <v>7</v>
      </c>
      <c r="B9" s="73" t="s">
        <v>28</v>
      </c>
      <c r="C9" s="73">
        <v>22</v>
      </c>
      <c r="D9" s="89">
        <v>0</v>
      </c>
      <c r="E9" s="73" t="s">
        <v>154</v>
      </c>
      <c r="F9" s="128">
        <v>42611</v>
      </c>
      <c r="G9" s="143">
        <f>14/C9</f>
        <v>0.63636363636363635</v>
      </c>
      <c r="H9" s="73" t="s">
        <v>68</v>
      </c>
      <c r="I9" s="73" t="s">
        <v>68</v>
      </c>
      <c r="J9" s="144" t="s">
        <v>68</v>
      </c>
      <c r="K9" s="73" t="s">
        <v>68</v>
      </c>
    </row>
    <row r="10" spans="1:15" x14ac:dyDescent="0.25">
      <c r="A10" s="22">
        <v>8</v>
      </c>
      <c r="B10" s="73" t="s">
        <v>20</v>
      </c>
      <c r="C10" s="73">
        <v>54</v>
      </c>
      <c r="D10" s="89">
        <v>2</v>
      </c>
      <c r="E10" s="102" t="s">
        <v>153</v>
      </c>
      <c r="F10" s="128">
        <v>41764</v>
      </c>
      <c r="G10" s="143">
        <v>0.63</v>
      </c>
      <c r="H10" s="73" t="s">
        <v>68</v>
      </c>
      <c r="I10" s="102" t="s">
        <v>68</v>
      </c>
      <c r="J10" s="144" t="s">
        <v>68</v>
      </c>
      <c r="K10" s="73" t="s">
        <v>68</v>
      </c>
    </row>
    <row r="11" spans="1:15" x14ac:dyDescent="0.25">
      <c r="A11" s="22">
        <v>9</v>
      </c>
      <c r="B11" s="73" t="s">
        <v>36</v>
      </c>
      <c r="C11" s="73">
        <v>30</v>
      </c>
      <c r="D11" s="89">
        <v>1</v>
      </c>
      <c r="E11" s="73" t="s">
        <v>152</v>
      </c>
      <c r="F11" s="128">
        <v>41603</v>
      </c>
      <c r="G11" s="143">
        <f>21/30</f>
        <v>0.7</v>
      </c>
      <c r="H11" s="73" t="s">
        <v>68</v>
      </c>
      <c r="I11" s="73" t="s">
        <v>68</v>
      </c>
      <c r="J11" s="144" t="s">
        <v>68</v>
      </c>
      <c r="K11" s="203" t="s">
        <v>68</v>
      </c>
    </row>
    <row r="12" spans="1:15" x14ac:dyDescent="0.25">
      <c r="A12" s="22">
        <v>10</v>
      </c>
      <c r="B12" s="73" t="s">
        <v>22</v>
      </c>
      <c r="C12" s="73">
        <v>75</v>
      </c>
      <c r="D12" s="89">
        <v>2</v>
      </c>
      <c r="E12" s="73" t="s">
        <v>151</v>
      </c>
      <c r="F12" s="128">
        <v>41764</v>
      </c>
      <c r="G12" s="143">
        <f>47/75</f>
        <v>0.62666666666666671</v>
      </c>
      <c r="H12" s="73" t="s">
        <v>68</v>
      </c>
      <c r="I12" s="73" t="s">
        <v>68</v>
      </c>
      <c r="J12" s="144" t="s">
        <v>68</v>
      </c>
      <c r="K12" s="73" t="s">
        <v>68</v>
      </c>
    </row>
    <row r="13" spans="1:15" x14ac:dyDescent="0.25">
      <c r="A13" s="22">
        <v>11</v>
      </c>
      <c r="B13" s="73" t="s">
        <v>93</v>
      </c>
      <c r="C13" s="73">
        <v>40</v>
      </c>
      <c r="D13" s="89">
        <v>0</v>
      </c>
      <c r="E13" s="193" t="s">
        <v>208</v>
      </c>
      <c r="F13" s="128">
        <v>41942</v>
      </c>
      <c r="G13" s="186">
        <f>23/C13</f>
        <v>0.57499999999999996</v>
      </c>
      <c r="H13" s="73" t="s">
        <v>68</v>
      </c>
      <c r="I13" s="73" t="s">
        <v>68</v>
      </c>
      <c r="J13" s="282" t="s">
        <v>68</v>
      </c>
      <c r="K13" s="203" t="s">
        <v>68</v>
      </c>
    </row>
    <row r="14" spans="1:15" x14ac:dyDescent="0.25">
      <c r="A14" s="22">
        <v>12</v>
      </c>
      <c r="B14" s="73" t="s">
        <v>390</v>
      </c>
      <c r="C14" s="73">
        <v>20</v>
      </c>
      <c r="D14" s="89">
        <v>0</v>
      </c>
      <c r="E14" s="73" t="s">
        <v>150</v>
      </c>
      <c r="F14" s="128">
        <v>41617</v>
      </c>
      <c r="G14" s="143">
        <f>12/20</f>
        <v>0.6</v>
      </c>
      <c r="H14" s="73" t="s">
        <v>68</v>
      </c>
      <c r="I14" s="73" t="s">
        <v>68</v>
      </c>
      <c r="J14" s="144" t="s">
        <v>68</v>
      </c>
      <c r="K14" s="203" t="s">
        <v>68</v>
      </c>
    </row>
    <row r="15" spans="1:15" x14ac:dyDescent="0.25">
      <c r="A15" s="22">
        <v>13</v>
      </c>
      <c r="B15" s="73" t="s">
        <v>85</v>
      </c>
      <c r="C15" s="73">
        <v>45</v>
      </c>
      <c r="D15" s="89">
        <v>0</v>
      </c>
      <c r="E15" s="73" t="s">
        <v>160</v>
      </c>
      <c r="F15" s="128">
        <v>42039</v>
      </c>
      <c r="G15" s="186">
        <f>27/C15</f>
        <v>0.6</v>
      </c>
      <c r="H15" s="73" t="s">
        <v>68</v>
      </c>
      <c r="I15" s="73" t="s">
        <v>68</v>
      </c>
      <c r="J15" s="73" t="s">
        <v>68</v>
      </c>
      <c r="K15" s="203" t="s">
        <v>68</v>
      </c>
    </row>
    <row r="16" spans="1:15" s="2" customFormat="1" x14ac:dyDescent="0.25">
      <c r="A16" s="22">
        <v>14</v>
      </c>
      <c r="B16" s="77" t="s">
        <v>82</v>
      </c>
      <c r="C16" s="73">
        <v>45</v>
      </c>
      <c r="D16" s="89">
        <v>0</v>
      </c>
      <c r="E16" s="73" t="s">
        <v>164</v>
      </c>
      <c r="F16" s="162">
        <v>42431</v>
      </c>
      <c r="G16" s="186">
        <f>31/45</f>
        <v>0.68888888888888888</v>
      </c>
      <c r="H16" s="73" t="s">
        <v>68</v>
      </c>
      <c r="I16" s="73" t="s">
        <v>68</v>
      </c>
      <c r="J16" s="203" t="s">
        <v>68</v>
      </c>
      <c r="K16" s="203" t="s">
        <v>68</v>
      </c>
    </row>
    <row r="17" spans="1:11" x14ac:dyDescent="0.25">
      <c r="A17" s="22">
        <v>15</v>
      </c>
      <c r="B17" s="73" t="s">
        <v>80</v>
      </c>
      <c r="C17" s="73">
        <v>30</v>
      </c>
      <c r="D17" s="89">
        <v>0</v>
      </c>
      <c r="E17" s="193" t="s">
        <v>196</v>
      </c>
      <c r="F17" s="128">
        <v>41905</v>
      </c>
      <c r="G17" s="186">
        <f>20/C17</f>
        <v>0.66666666666666663</v>
      </c>
      <c r="H17" s="73" t="s">
        <v>68</v>
      </c>
      <c r="I17" s="73" t="s">
        <v>68</v>
      </c>
      <c r="J17" s="144" t="s">
        <v>68</v>
      </c>
      <c r="K17" s="203" t="s">
        <v>68</v>
      </c>
    </row>
    <row r="18" spans="1:11" x14ac:dyDescent="0.25">
      <c r="A18" s="22">
        <v>16</v>
      </c>
      <c r="B18" s="77" t="s">
        <v>23</v>
      </c>
      <c r="C18" s="73">
        <v>30</v>
      </c>
      <c r="D18" s="89">
        <v>0</v>
      </c>
      <c r="E18" s="73" t="s">
        <v>148</v>
      </c>
      <c r="F18" s="162">
        <v>41765</v>
      </c>
      <c r="G18" s="163">
        <f>19/30</f>
        <v>0.6333333333333333</v>
      </c>
      <c r="H18" s="77" t="s">
        <v>68</v>
      </c>
      <c r="I18" s="73" t="s">
        <v>68</v>
      </c>
      <c r="J18" s="144" t="s">
        <v>68</v>
      </c>
      <c r="K18" s="73" t="s">
        <v>68</v>
      </c>
    </row>
    <row r="19" spans="1:11" x14ac:dyDescent="0.25">
      <c r="A19" s="22">
        <v>17</v>
      </c>
      <c r="B19" s="77" t="s">
        <v>35</v>
      </c>
      <c r="C19" s="73">
        <v>40</v>
      </c>
      <c r="D19" s="89">
        <v>1</v>
      </c>
      <c r="E19" s="73" t="s">
        <v>100</v>
      </c>
      <c r="F19" s="162">
        <v>41604</v>
      </c>
      <c r="G19" s="163">
        <f>23/40</f>
        <v>0.57499999999999996</v>
      </c>
      <c r="H19" s="77" t="s">
        <v>68</v>
      </c>
      <c r="I19" s="73" t="s">
        <v>68</v>
      </c>
      <c r="J19" s="144" t="s">
        <v>68</v>
      </c>
      <c r="K19" s="73" t="s">
        <v>68</v>
      </c>
    </row>
    <row r="20" spans="1:11" x14ac:dyDescent="0.25">
      <c r="A20" s="22">
        <v>18</v>
      </c>
      <c r="B20" s="77" t="s">
        <v>395</v>
      </c>
      <c r="C20" s="73">
        <v>40</v>
      </c>
      <c r="D20" s="89">
        <v>1</v>
      </c>
      <c r="E20" s="193" t="s">
        <v>209</v>
      </c>
      <c r="F20" s="75">
        <v>42620</v>
      </c>
      <c r="G20" s="186">
        <f>24/C20</f>
        <v>0.6</v>
      </c>
      <c r="H20" s="77" t="s">
        <v>68</v>
      </c>
      <c r="I20" s="73" t="s">
        <v>68</v>
      </c>
      <c r="J20" s="144" t="s">
        <v>68</v>
      </c>
      <c r="K20" s="73" t="s">
        <v>68</v>
      </c>
    </row>
    <row r="21" spans="1:11" x14ac:dyDescent="0.25">
      <c r="A21" s="22">
        <v>19</v>
      </c>
      <c r="B21" s="77" t="s">
        <v>105</v>
      </c>
      <c r="C21" s="73">
        <v>54</v>
      </c>
      <c r="D21" s="89">
        <v>0</v>
      </c>
      <c r="E21" s="73" t="s">
        <v>216</v>
      </c>
      <c r="F21" s="162">
        <v>42627</v>
      </c>
      <c r="G21" s="204">
        <f>34/C21</f>
        <v>0.62962962962962965</v>
      </c>
      <c r="H21" s="77" t="s">
        <v>68</v>
      </c>
      <c r="I21" s="73" t="s">
        <v>68</v>
      </c>
      <c r="J21" s="144" t="s">
        <v>68</v>
      </c>
      <c r="K21" s="73" t="s">
        <v>68</v>
      </c>
    </row>
    <row r="22" spans="1:11" x14ac:dyDescent="0.25">
      <c r="A22" s="22">
        <v>20</v>
      </c>
      <c r="B22" s="73" t="s">
        <v>92</v>
      </c>
      <c r="C22" s="73">
        <v>30</v>
      </c>
      <c r="D22" s="89">
        <v>1</v>
      </c>
      <c r="E22" s="193" t="s">
        <v>173</v>
      </c>
      <c r="F22" s="75">
        <v>42620</v>
      </c>
      <c r="G22" s="186">
        <f>18/C22</f>
        <v>0.6</v>
      </c>
      <c r="H22" s="73" t="s">
        <v>68</v>
      </c>
      <c r="I22" s="73" t="s">
        <v>68</v>
      </c>
      <c r="J22" s="144" t="s">
        <v>68</v>
      </c>
      <c r="K22" s="73" t="s">
        <v>68</v>
      </c>
    </row>
    <row r="23" spans="1:11" x14ac:dyDescent="0.25">
      <c r="A23" s="22">
        <v>21</v>
      </c>
      <c r="B23" s="102" t="s">
        <v>48</v>
      </c>
      <c r="C23" s="102">
        <v>45</v>
      </c>
      <c r="D23" s="127">
        <v>1</v>
      </c>
      <c r="E23" s="102" t="s">
        <v>147</v>
      </c>
      <c r="F23" s="142">
        <v>41599</v>
      </c>
      <c r="G23" s="206">
        <f>26/45</f>
        <v>0.57777777777777772</v>
      </c>
      <c r="H23" s="102" t="s">
        <v>68</v>
      </c>
      <c r="I23" s="73" t="s">
        <v>68</v>
      </c>
      <c r="J23" s="144" t="s">
        <v>68</v>
      </c>
      <c r="K23" s="73" t="s">
        <v>68</v>
      </c>
    </row>
    <row r="24" spans="1:11" x14ac:dyDescent="0.25">
      <c r="A24" s="22">
        <v>22</v>
      </c>
      <c r="B24" s="73" t="s">
        <v>40</v>
      </c>
      <c r="C24" s="73">
        <v>22</v>
      </c>
      <c r="D24" s="89">
        <v>22</v>
      </c>
      <c r="E24" s="73" t="s">
        <v>144</v>
      </c>
      <c r="F24" s="128">
        <v>41617</v>
      </c>
      <c r="G24" s="143">
        <f>22/22</f>
        <v>1</v>
      </c>
      <c r="H24" s="73" t="s">
        <v>68</v>
      </c>
      <c r="I24" s="73" t="s">
        <v>68</v>
      </c>
      <c r="J24" s="144" t="s">
        <v>68</v>
      </c>
      <c r="K24" s="73" t="s">
        <v>68</v>
      </c>
    </row>
    <row r="25" spans="1:11" x14ac:dyDescent="0.25">
      <c r="A25" s="22">
        <v>23</v>
      </c>
      <c r="B25" s="77" t="s">
        <v>25</v>
      </c>
      <c r="C25" s="73">
        <v>18</v>
      </c>
      <c r="D25" s="89">
        <v>2</v>
      </c>
      <c r="E25" s="73" t="s">
        <v>143</v>
      </c>
      <c r="F25" s="162">
        <v>41596</v>
      </c>
      <c r="G25" s="163">
        <f>11/18</f>
        <v>0.61111111111111116</v>
      </c>
      <c r="H25" s="73" t="s">
        <v>68</v>
      </c>
      <c r="I25" s="73" t="s">
        <v>68</v>
      </c>
      <c r="J25" s="144" t="s">
        <v>68</v>
      </c>
      <c r="K25" s="73" t="s">
        <v>68</v>
      </c>
    </row>
    <row r="26" spans="1:11" x14ac:dyDescent="0.25">
      <c r="A26" s="22">
        <v>24</v>
      </c>
      <c r="B26" s="77" t="s">
        <v>65</v>
      </c>
      <c r="C26" s="77">
        <v>20</v>
      </c>
      <c r="D26" s="209">
        <v>0</v>
      </c>
      <c r="E26" s="77" t="s">
        <v>163</v>
      </c>
      <c r="F26" s="162">
        <v>41583</v>
      </c>
      <c r="G26" s="163">
        <f>SUM(12/20)</f>
        <v>0.6</v>
      </c>
      <c r="H26" s="77" t="s">
        <v>68</v>
      </c>
      <c r="I26" s="77" t="s">
        <v>68</v>
      </c>
      <c r="J26" s="198" t="s">
        <v>68</v>
      </c>
      <c r="K26" s="73" t="s">
        <v>68</v>
      </c>
    </row>
    <row r="27" spans="1:11" s="2" customFormat="1" x14ac:dyDescent="0.25">
      <c r="A27" s="22">
        <v>25</v>
      </c>
      <c r="B27" s="73" t="s">
        <v>220</v>
      </c>
      <c r="C27" s="144">
        <v>5</v>
      </c>
      <c r="D27" s="73">
        <v>5</v>
      </c>
      <c r="E27" s="89" t="s">
        <v>238</v>
      </c>
      <c r="F27" s="128">
        <v>42628</v>
      </c>
      <c r="G27" s="186">
        <f>5/C27</f>
        <v>1</v>
      </c>
      <c r="H27" s="336" t="s">
        <v>68</v>
      </c>
      <c r="I27" s="5" t="s">
        <v>68</v>
      </c>
      <c r="J27" s="198" t="s">
        <v>68</v>
      </c>
      <c r="K27" s="73" t="s">
        <v>68</v>
      </c>
    </row>
    <row r="28" spans="1:11" x14ac:dyDescent="0.25">
      <c r="A28" s="22">
        <v>26</v>
      </c>
      <c r="B28" s="203" t="s">
        <v>60</v>
      </c>
      <c r="C28" s="102">
        <v>50</v>
      </c>
      <c r="D28" s="127">
        <v>4</v>
      </c>
      <c r="E28" s="102" t="s">
        <v>141</v>
      </c>
      <c r="F28" s="54">
        <v>41613</v>
      </c>
      <c r="G28" s="205">
        <f>30/50</f>
        <v>0.6</v>
      </c>
      <c r="H28" s="102" t="s">
        <v>68</v>
      </c>
      <c r="I28" s="102" t="s">
        <v>68</v>
      </c>
      <c r="J28" s="144" t="s">
        <v>68</v>
      </c>
      <c r="K28" s="203" t="s">
        <v>68</v>
      </c>
    </row>
    <row r="29" spans="1:11" x14ac:dyDescent="0.25">
      <c r="A29" s="22">
        <v>27</v>
      </c>
      <c r="B29" s="77" t="s">
        <v>9</v>
      </c>
      <c r="C29" s="73">
        <v>50</v>
      </c>
      <c r="D29" s="89">
        <v>4</v>
      </c>
      <c r="E29" s="193" t="s">
        <v>181</v>
      </c>
      <c r="F29" s="162">
        <v>41953</v>
      </c>
      <c r="G29" s="163">
        <f>34/C29</f>
        <v>0.68</v>
      </c>
      <c r="H29" s="77" t="s">
        <v>68</v>
      </c>
      <c r="I29" s="73" t="s">
        <v>68</v>
      </c>
      <c r="J29" s="144" t="s">
        <v>68</v>
      </c>
      <c r="K29" s="73" t="s">
        <v>68</v>
      </c>
    </row>
    <row r="30" spans="1:11" x14ac:dyDescent="0.25">
      <c r="A30" s="22">
        <v>28</v>
      </c>
      <c r="B30" s="77" t="s">
        <v>41</v>
      </c>
      <c r="C30" s="73">
        <v>44</v>
      </c>
      <c r="D30" s="89">
        <v>1</v>
      </c>
      <c r="E30" s="73" t="s">
        <v>139</v>
      </c>
      <c r="F30" s="162">
        <v>41592</v>
      </c>
      <c r="G30" s="163">
        <f>27/44</f>
        <v>0.61363636363636365</v>
      </c>
      <c r="H30" s="77" t="s">
        <v>68</v>
      </c>
      <c r="I30" s="73" t="s">
        <v>68</v>
      </c>
      <c r="J30" s="144" t="s">
        <v>68</v>
      </c>
      <c r="K30" s="73" t="s">
        <v>68</v>
      </c>
    </row>
    <row r="31" spans="1:11" x14ac:dyDescent="0.25">
      <c r="A31" s="22">
        <v>29</v>
      </c>
      <c r="B31" s="77" t="s">
        <v>56</v>
      </c>
      <c r="C31" s="73">
        <v>25</v>
      </c>
      <c r="D31" s="89">
        <v>0</v>
      </c>
      <c r="E31" s="73" t="s">
        <v>138</v>
      </c>
      <c r="F31" s="162">
        <v>41612</v>
      </c>
      <c r="G31" s="163">
        <f>14/24</f>
        <v>0.58333333333333337</v>
      </c>
      <c r="H31" s="77" t="s">
        <v>68</v>
      </c>
      <c r="I31" s="73" t="s">
        <v>68</v>
      </c>
      <c r="J31" s="144" t="s">
        <v>68</v>
      </c>
      <c r="K31" s="73" t="s">
        <v>68</v>
      </c>
    </row>
    <row r="32" spans="1:11" x14ac:dyDescent="0.25">
      <c r="A32" s="22">
        <v>30</v>
      </c>
      <c r="B32" s="73" t="s">
        <v>79</v>
      </c>
      <c r="C32" s="144">
        <v>45</v>
      </c>
      <c r="D32" s="73">
        <v>4</v>
      </c>
      <c r="E32" s="152" t="s">
        <v>161</v>
      </c>
      <c r="F32" s="138">
        <v>41857</v>
      </c>
      <c r="G32" s="204">
        <f>26/45</f>
        <v>0.57777777777777772</v>
      </c>
      <c r="H32" s="73" t="s">
        <v>68</v>
      </c>
      <c r="I32" s="73" t="s">
        <v>68</v>
      </c>
      <c r="J32" s="282" t="s">
        <v>68</v>
      </c>
      <c r="K32" s="203" t="s">
        <v>68</v>
      </c>
    </row>
    <row r="33" spans="1:11" x14ac:dyDescent="0.25">
      <c r="A33" s="22">
        <v>31</v>
      </c>
      <c r="B33" s="73" t="s">
        <v>27</v>
      </c>
      <c r="C33" s="144">
        <v>72</v>
      </c>
      <c r="D33" s="73">
        <v>2</v>
      </c>
      <c r="E33" s="152" t="s">
        <v>101</v>
      </c>
      <c r="F33" s="138">
        <v>41611</v>
      </c>
      <c r="G33" s="163">
        <f>44/72</f>
        <v>0.61111111111111116</v>
      </c>
      <c r="H33" s="73" t="s">
        <v>68</v>
      </c>
      <c r="I33" s="73" t="s">
        <v>68</v>
      </c>
      <c r="J33" s="144" t="s">
        <v>68</v>
      </c>
      <c r="K33" s="73" t="s">
        <v>68</v>
      </c>
    </row>
    <row r="34" spans="1:11" x14ac:dyDescent="0.25">
      <c r="A34" s="22">
        <v>32</v>
      </c>
      <c r="B34" s="73" t="s">
        <v>7</v>
      </c>
      <c r="C34" s="144">
        <v>45</v>
      </c>
      <c r="D34" s="73">
        <v>0</v>
      </c>
      <c r="E34" s="175" t="s">
        <v>190</v>
      </c>
      <c r="F34" s="138">
        <v>41890</v>
      </c>
      <c r="G34" s="163">
        <f>33/C34</f>
        <v>0.73333333333333328</v>
      </c>
      <c r="H34" s="73" t="s">
        <v>68</v>
      </c>
      <c r="I34" s="73" t="s">
        <v>68</v>
      </c>
      <c r="J34" s="144" t="s">
        <v>68</v>
      </c>
      <c r="K34" s="73" t="s">
        <v>68</v>
      </c>
    </row>
    <row r="35" spans="1:11" x14ac:dyDescent="0.25">
      <c r="A35" s="22">
        <v>33</v>
      </c>
      <c r="B35" s="77" t="s">
        <v>404</v>
      </c>
      <c r="C35" s="77">
        <v>75</v>
      </c>
      <c r="D35" s="209">
        <v>2</v>
      </c>
      <c r="E35" s="231" t="s">
        <v>199</v>
      </c>
      <c r="F35" s="162">
        <v>41906</v>
      </c>
      <c r="G35" s="204">
        <f>45/C35</f>
        <v>0.6</v>
      </c>
      <c r="H35" s="77" t="s">
        <v>68</v>
      </c>
      <c r="I35" s="77" t="s">
        <v>68</v>
      </c>
      <c r="J35" s="198" t="s">
        <v>68</v>
      </c>
      <c r="K35" s="73" t="s">
        <v>68</v>
      </c>
    </row>
    <row r="36" spans="1:11" x14ac:dyDescent="0.25">
      <c r="A36" s="22">
        <v>34</v>
      </c>
      <c r="B36" s="73" t="s">
        <v>52</v>
      </c>
      <c r="C36" s="144">
        <v>40</v>
      </c>
      <c r="D36" s="73">
        <v>0</v>
      </c>
      <c r="E36" s="144" t="s">
        <v>136</v>
      </c>
      <c r="F36" s="138">
        <v>41612</v>
      </c>
      <c r="G36" s="143">
        <f>24/40</f>
        <v>0.6</v>
      </c>
      <c r="H36" s="73" t="s">
        <v>68</v>
      </c>
      <c r="I36" s="73" t="s">
        <v>68</v>
      </c>
      <c r="J36" s="144" t="s">
        <v>68</v>
      </c>
      <c r="K36" s="73" t="s">
        <v>68</v>
      </c>
    </row>
    <row r="37" spans="1:11" x14ac:dyDescent="0.25">
      <c r="A37" s="22">
        <v>35</v>
      </c>
      <c r="B37" s="102" t="s">
        <v>29</v>
      </c>
      <c r="C37" s="152">
        <v>72</v>
      </c>
      <c r="D37" s="102">
        <v>6</v>
      </c>
      <c r="E37" s="152" t="s">
        <v>135</v>
      </c>
      <c r="F37" s="188">
        <v>41598</v>
      </c>
      <c r="G37" s="205">
        <f>40/72</f>
        <v>0.55555555555555558</v>
      </c>
      <c r="H37" s="102" t="s">
        <v>68</v>
      </c>
      <c r="I37" s="102" t="s">
        <v>68</v>
      </c>
      <c r="J37" s="152" t="s">
        <v>68</v>
      </c>
      <c r="K37" s="73" t="s">
        <v>68</v>
      </c>
    </row>
    <row r="38" spans="1:11" x14ac:dyDescent="0.25">
      <c r="A38" s="22">
        <v>36</v>
      </c>
      <c r="B38" s="73" t="s">
        <v>11</v>
      </c>
      <c r="C38" s="144">
        <v>60</v>
      </c>
      <c r="D38" s="73">
        <v>4</v>
      </c>
      <c r="E38" s="175" t="s">
        <v>185</v>
      </c>
      <c r="F38" s="138">
        <v>41892</v>
      </c>
      <c r="G38" s="163">
        <f>36/C38</f>
        <v>0.6</v>
      </c>
      <c r="H38" s="73" t="s">
        <v>68</v>
      </c>
      <c r="I38" s="73" t="s">
        <v>68</v>
      </c>
      <c r="J38" s="144" t="s">
        <v>68</v>
      </c>
      <c r="K38" s="73" t="s">
        <v>68</v>
      </c>
    </row>
    <row r="39" spans="1:11" x14ac:dyDescent="0.25">
      <c r="A39" s="22">
        <v>37</v>
      </c>
      <c r="B39" s="73" t="s">
        <v>86</v>
      </c>
      <c r="C39" s="144">
        <v>60</v>
      </c>
      <c r="D39" s="73">
        <v>4</v>
      </c>
      <c r="E39" s="175" t="s">
        <v>207</v>
      </c>
      <c r="F39" s="138">
        <v>42046</v>
      </c>
      <c r="G39" s="186">
        <f>35/C39</f>
        <v>0.58333333333333337</v>
      </c>
      <c r="H39" s="73" t="s">
        <v>68</v>
      </c>
      <c r="I39" s="73" t="s">
        <v>68</v>
      </c>
      <c r="J39" s="144" t="s">
        <v>68</v>
      </c>
      <c r="K39" s="73" t="s">
        <v>68</v>
      </c>
    </row>
    <row r="40" spans="1:11" s="2" customFormat="1" x14ac:dyDescent="0.25">
      <c r="A40" s="22">
        <v>38</v>
      </c>
      <c r="B40" s="73" t="s">
        <v>217</v>
      </c>
      <c r="C40" s="144">
        <v>60</v>
      </c>
      <c r="D40" s="73">
        <v>2</v>
      </c>
      <c r="E40" s="144" t="s">
        <v>236</v>
      </c>
      <c r="F40" s="75">
        <v>42156</v>
      </c>
      <c r="G40" s="186">
        <f>34/C40</f>
        <v>0.56666666666666665</v>
      </c>
      <c r="H40" s="73" t="s">
        <v>68</v>
      </c>
      <c r="I40" s="73" t="s">
        <v>68</v>
      </c>
      <c r="J40" s="282" t="s">
        <v>68</v>
      </c>
      <c r="K40" s="203" t="s">
        <v>68</v>
      </c>
    </row>
    <row r="41" spans="1:11" x14ac:dyDescent="0.25">
      <c r="A41" s="22">
        <v>39</v>
      </c>
      <c r="B41" s="102" t="s">
        <v>61</v>
      </c>
      <c r="C41" s="152">
        <v>60</v>
      </c>
      <c r="D41" s="102">
        <v>4</v>
      </c>
      <c r="E41" s="152" t="s">
        <v>134</v>
      </c>
      <c r="F41" s="188">
        <v>41612</v>
      </c>
      <c r="G41" s="206">
        <f>40/60</f>
        <v>0.66666666666666663</v>
      </c>
      <c r="H41" s="73" t="s">
        <v>68</v>
      </c>
      <c r="I41" s="73" t="s">
        <v>68</v>
      </c>
      <c r="J41" s="144" t="s">
        <v>68</v>
      </c>
      <c r="K41" s="73" t="s">
        <v>68</v>
      </c>
    </row>
    <row r="42" spans="1:11" s="2" customFormat="1" x14ac:dyDescent="0.25">
      <c r="A42" s="22">
        <v>40</v>
      </c>
      <c r="B42" s="102" t="s">
        <v>218</v>
      </c>
      <c r="C42" s="152">
        <v>60</v>
      </c>
      <c r="D42" s="102">
        <v>3</v>
      </c>
      <c r="E42" s="152" t="s">
        <v>237</v>
      </c>
      <c r="F42" s="176">
        <v>42156</v>
      </c>
      <c r="G42" s="199">
        <f>35/C42</f>
        <v>0.58333333333333337</v>
      </c>
      <c r="H42" s="73" t="s">
        <v>68</v>
      </c>
      <c r="I42" s="73" t="s">
        <v>68</v>
      </c>
      <c r="J42" s="282" t="s">
        <v>68</v>
      </c>
      <c r="K42" s="203" t="s">
        <v>68</v>
      </c>
    </row>
    <row r="43" spans="1:11" x14ac:dyDescent="0.25">
      <c r="A43" s="22">
        <v>41</v>
      </c>
      <c r="B43" s="73" t="s">
        <v>71</v>
      </c>
      <c r="C43" s="144">
        <v>48</v>
      </c>
      <c r="D43" s="73">
        <v>0</v>
      </c>
      <c r="E43" s="175" t="s">
        <v>195</v>
      </c>
      <c r="F43" s="138">
        <v>41905</v>
      </c>
      <c r="G43" s="186">
        <f>27/C43</f>
        <v>0.5625</v>
      </c>
      <c r="H43" s="73" t="s">
        <v>68</v>
      </c>
      <c r="I43" s="73" t="s">
        <v>68</v>
      </c>
      <c r="J43" s="144" t="s">
        <v>68</v>
      </c>
      <c r="K43" s="73" t="s">
        <v>68</v>
      </c>
    </row>
    <row r="44" spans="1:11" x14ac:dyDescent="0.25">
      <c r="A44" s="22">
        <v>42</v>
      </c>
      <c r="B44" s="73" t="s">
        <v>394</v>
      </c>
      <c r="C44" s="144">
        <v>45</v>
      </c>
      <c r="D44" s="73">
        <v>1</v>
      </c>
      <c r="E44" s="190" t="s">
        <v>210</v>
      </c>
      <c r="F44" s="138">
        <v>41940</v>
      </c>
      <c r="G44" s="186">
        <f>28/C44</f>
        <v>0.62222222222222223</v>
      </c>
      <c r="H44" s="73" t="s">
        <v>68</v>
      </c>
      <c r="I44" s="73" t="s">
        <v>68</v>
      </c>
      <c r="J44" s="144" t="s">
        <v>68</v>
      </c>
      <c r="K44" s="203" t="s">
        <v>68</v>
      </c>
    </row>
    <row r="45" spans="1:11" x14ac:dyDescent="0.25">
      <c r="A45" s="22">
        <v>43</v>
      </c>
      <c r="B45" s="73" t="s">
        <v>42</v>
      </c>
      <c r="C45" s="144">
        <v>25</v>
      </c>
      <c r="D45" s="73">
        <v>1</v>
      </c>
      <c r="E45" s="152" t="s">
        <v>131</v>
      </c>
      <c r="F45" s="138">
        <v>41598</v>
      </c>
      <c r="G45" s="163">
        <f>16/25</f>
        <v>0.64</v>
      </c>
      <c r="H45" s="73" t="s">
        <v>68</v>
      </c>
      <c r="I45" s="73" t="s">
        <v>68</v>
      </c>
      <c r="J45" s="73" t="s">
        <v>68</v>
      </c>
      <c r="K45" s="73" t="s">
        <v>68</v>
      </c>
    </row>
    <row r="46" spans="1:11" x14ac:dyDescent="0.25">
      <c r="A46" s="22">
        <v>44</v>
      </c>
      <c r="B46" s="73" t="s">
        <v>57</v>
      </c>
      <c r="C46" s="144">
        <v>80</v>
      </c>
      <c r="D46" s="73">
        <v>3</v>
      </c>
      <c r="E46" s="152" t="s">
        <v>125</v>
      </c>
      <c r="F46" s="138">
        <v>41596</v>
      </c>
      <c r="G46" s="143">
        <f>50/80</f>
        <v>0.625</v>
      </c>
      <c r="H46" s="73" t="s">
        <v>68</v>
      </c>
      <c r="I46" s="73" t="s">
        <v>68</v>
      </c>
      <c r="J46" s="144" t="s">
        <v>68</v>
      </c>
      <c r="K46" s="73" t="s">
        <v>68</v>
      </c>
    </row>
    <row r="47" spans="1:11" x14ac:dyDescent="0.25">
      <c r="A47" s="22">
        <v>45</v>
      </c>
      <c r="B47" s="77" t="s">
        <v>43</v>
      </c>
      <c r="C47" s="73">
        <v>60</v>
      </c>
      <c r="D47" s="89">
        <v>3</v>
      </c>
      <c r="E47" s="73" t="s">
        <v>112</v>
      </c>
      <c r="F47" s="162">
        <v>42534</v>
      </c>
      <c r="G47" s="163">
        <f>41/60</f>
        <v>0.68333333333333335</v>
      </c>
      <c r="H47" s="73" t="s">
        <v>68</v>
      </c>
      <c r="I47" s="73" t="s">
        <v>68</v>
      </c>
      <c r="J47" s="282" t="s">
        <v>68</v>
      </c>
      <c r="K47" s="233" t="s">
        <v>68</v>
      </c>
    </row>
    <row r="48" spans="1:11" x14ac:dyDescent="0.25">
      <c r="A48" s="22">
        <v>46</v>
      </c>
      <c r="B48" s="73" t="s">
        <v>34</v>
      </c>
      <c r="C48" s="144">
        <v>30</v>
      </c>
      <c r="D48" s="73">
        <v>1</v>
      </c>
      <c r="E48" s="144" t="s">
        <v>107</v>
      </c>
      <c r="F48" s="138">
        <v>41605</v>
      </c>
      <c r="G48" s="143">
        <f>18/29</f>
        <v>0.62068965517241381</v>
      </c>
      <c r="H48" s="73" t="s">
        <v>68</v>
      </c>
      <c r="I48" s="73" t="s">
        <v>68</v>
      </c>
      <c r="J48" s="144" t="s">
        <v>68</v>
      </c>
      <c r="K48" s="73" t="s">
        <v>68</v>
      </c>
    </row>
    <row r="49" spans="1:11" x14ac:dyDescent="0.25">
      <c r="A49" s="22">
        <v>47</v>
      </c>
      <c r="B49" s="102" t="s">
        <v>37</v>
      </c>
      <c r="C49" s="152">
        <v>65</v>
      </c>
      <c r="D49" s="102">
        <v>2</v>
      </c>
      <c r="E49" s="152" t="s">
        <v>129</v>
      </c>
      <c r="F49" s="142">
        <v>42585</v>
      </c>
      <c r="G49" s="344">
        <f>41/C49</f>
        <v>0.63076923076923075</v>
      </c>
      <c r="H49" s="73" t="s">
        <v>68</v>
      </c>
      <c r="I49" s="73" t="s">
        <v>68</v>
      </c>
      <c r="J49" s="282" t="s">
        <v>68</v>
      </c>
      <c r="K49" s="233" t="s">
        <v>68</v>
      </c>
    </row>
    <row r="50" spans="1:11" x14ac:dyDescent="0.25">
      <c r="A50" s="22">
        <v>48</v>
      </c>
      <c r="B50" s="73" t="s">
        <v>19</v>
      </c>
      <c r="C50" s="144">
        <v>60</v>
      </c>
      <c r="D50" s="73">
        <v>3</v>
      </c>
      <c r="E50" s="190" t="s">
        <v>182</v>
      </c>
      <c r="F50" s="138">
        <v>41897</v>
      </c>
      <c r="G50" s="143">
        <f>47/C50</f>
        <v>0.78333333333333333</v>
      </c>
      <c r="H50" s="73" t="s">
        <v>68</v>
      </c>
      <c r="I50" s="73" t="s">
        <v>68</v>
      </c>
      <c r="J50" s="144" t="s">
        <v>68</v>
      </c>
      <c r="K50" s="73" t="s">
        <v>68</v>
      </c>
    </row>
    <row r="51" spans="1:11" x14ac:dyDescent="0.25">
      <c r="A51" s="22">
        <v>49</v>
      </c>
      <c r="B51" s="73" t="s">
        <v>8</v>
      </c>
      <c r="C51" s="144">
        <v>60</v>
      </c>
      <c r="D51" s="73">
        <v>1</v>
      </c>
      <c r="E51" s="190" t="s">
        <v>184</v>
      </c>
      <c r="F51" s="138">
        <v>41891</v>
      </c>
      <c r="G51" s="143">
        <f>36/C51</f>
        <v>0.6</v>
      </c>
      <c r="H51" s="73" t="s">
        <v>68</v>
      </c>
      <c r="I51" s="73" t="s">
        <v>68</v>
      </c>
      <c r="J51" s="144" t="s">
        <v>68</v>
      </c>
      <c r="K51" s="73" t="s">
        <v>68</v>
      </c>
    </row>
    <row r="52" spans="1:11" x14ac:dyDescent="0.25">
      <c r="A52" s="22">
        <v>50</v>
      </c>
      <c r="B52" s="73" t="s">
        <v>6</v>
      </c>
      <c r="C52" s="144">
        <v>60</v>
      </c>
      <c r="D52" s="73">
        <v>2</v>
      </c>
      <c r="E52" s="190" t="s">
        <v>180</v>
      </c>
      <c r="F52" s="138">
        <v>41890</v>
      </c>
      <c r="G52" s="143">
        <f>40/C52</f>
        <v>0.66666666666666663</v>
      </c>
      <c r="H52" s="73" t="s">
        <v>68</v>
      </c>
      <c r="I52" s="73" t="s">
        <v>68</v>
      </c>
      <c r="J52" s="144" t="s">
        <v>68</v>
      </c>
      <c r="K52" s="73" t="s">
        <v>68</v>
      </c>
    </row>
    <row r="53" spans="1:11" x14ac:dyDescent="0.25">
      <c r="A53" s="22">
        <v>51</v>
      </c>
      <c r="B53" s="73" t="s">
        <v>14</v>
      </c>
      <c r="C53" s="144">
        <v>60</v>
      </c>
      <c r="D53" s="73">
        <v>2</v>
      </c>
      <c r="E53" s="190" t="s">
        <v>194</v>
      </c>
      <c r="F53" s="138">
        <v>41926</v>
      </c>
      <c r="G53" s="143">
        <f>37/C53</f>
        <v>0.6166666666666667</v>
      </c>
      <c r="H53" s="73" t="s">
        <v>68</v>
      </c>
      <c r="I53" s="73" t="s">
        <v>68</v>
      </c>
      <c r="J53" s="144" t="s">
        <v>68</v>
      </c>
      <c r="K53" s="203" t="s">
        <v>68</v>
      </c>
    </row>
    <row r="54" spans="1:11" x14ac:dyDescent="0.25">
      <c r="A54" s="22">
        <v>52</v>
      </c>
      <c r="B54" s="102" t="s">
        <v>13</v>
      </c>
      <c r="C54" s="152">
        <v>8</v>
      </c>
      <c r="D54" s="102">
        <v>0</v>
      </c>
      <c r="E54" s="175" t="s">
        <v>179</v>
      </c>
      <c r="F54" s="176">
        <v>41912</v>
      </c>
      <c r="G54" s="206">
        <v>1</v>
      </c>
      <c r="H54" s="102" t="s">
        <v>68</v>
      </c>
      <c r="I54" s="73" t="s">
        <v>68</v>
      </c>
      <c r="J54" s="144" t="s">
        <v>68</v>
      </c>
      <c r="K54" s="73" t="s">
        <v>68</v>
      </c>
    </row>
    <row r="55" spans="1:11" s="2" customFormat="1" x14ac:dyDescent="0.25">
      <c r="A55" s="22">
        <v>53</v>
      </c>
      <c r="B55" s="203" t="s">
        <v>221</v>
      </c>
      <c r="C55" s="198">
        <v>5</v>
      </c>
      <c r="D55" s="77">
        <v>5</v>
      </c>
      <c r="E55" s="198" t="s">
        <v>240</v>
      </c>
      <c r="F55" s="192">
        <v>42180</v>
      </c>
      <c r="G55" s="199">
        <f>5/C55</f>
        <v>1</v>
      </c>
      <c r="H55" s="102" t="s">
        <v>68</v>
      </c>
      <c r="I55" s="73" t="s">
        <v>68</v>
      </c>
      <c r="J55" s="144" t="s">
        <v>68</v>
      </c>
      <c r="K55" s="73" t="s">
        <v>68</v>
      </c>
    </row>
    <row r="56" spans="1:11" x14ac:dyDescent="0.25">
      <c r="A56" s="22">
        <v>54</v>
      </c>
      <c r="B56" s="73" t="s">
        <v>88</v>
      </c>
      <c r="C56" s="144">
        <v>40</v>
      </c>
      <c r="D56" s="73">
        <v>7</v>
      </c>
      <c r="E56" s="190" t="s">
        <v>201</v>
      </c>
      <c r="F56" s="75">
        <v>41907</v>
      </c>
      <c r="G56" s="186">
        <f>24/C56</f>
        <v>0.6</v>
      </c>
      <c r="H56" s="73" t="s">
        <v>68</v>
      </c>
      <c r="I56" s="73" t="s">
        <v>68</v>
      </c>
      <c r="J56" s="144" t="s">
        <v>68</v>
      </c>
      <c r="K56" s="73" t="s">
        <v>68</v>
      </c>
    </row>
    <row r="57" spans="1:11" x14ac:dyDescent="0.25">
      <c r="A57" s="22">
        <v>55</v>
      </c>
      <c r="B57" s="73" t="s">
        <v>475</v>
      </c>
      <c r="C57" s="144">
        <v>53</v>
      </c>
      <c r="D57" s="73">
        <v>0</v>
      </c>
      <c r="E57" s="144" t="s">
        <v>124</v>
      </c>
      <c r="F57" s="75">
        <v>41765</v>
      </c>
      <c r="G57" s="143">
        <f>36/53</f>
        <v>0.67924528301886788</v>
      </c>
      <c r="H57" s="73" t="s">
        <v>68</v>
      </c>
      <c r="I57" s="73" t="s">
        <v>68</v>
      </c>
      <c r="J57" s="144" t="s">
        <v>68</v>
      </c>
      <c r="K57" s="203" t="s">
        <v>68</v>
      </c>
    </row>
    <row r="58" spans="1:11" x14ac:dyDescent="0.25">
      <c r="A58" s="22">
        <v>56</v>
      </c>
      <c r="B58" s="73" t="s">
        <v>38</v>
      </c>
      <c r="C58" s="144">
        <v>100</v>
      </c>
      <c r="D58" s="73">
        <v>9</v>
      </c>
      <c r="E58" s="144" t="s">
        <v>123</v>
      </c>
      <c r="F58" s="75">
        <v>41592</v>
      </c>
      <c r="G58" s="143">
        <f>58/100</f>
        <v>0.57999999999999996</v>
      </c>
      <c r="H58" s="73" t="s">
        <v>68</v>
      </c>
      <c r="I58" s="73" t="s">
        <v>68</v>
      </c>
      <c r="J58" s="144" t="s">
        <v>68</v>
      </c>
      <c r="K58" s="73" t="s">
        <v>68</v>
      </c>
    </row>
    <row r="59" spans="1:11" x14ac:dyDescent="0.25">
      <c r="A59" s="22">
        <v>57</v>
      </c>
      <c r="B59" s="73" t="s">
        <v>47</v>
      </c>
      <c r="C59" s="144">
        <v>40</v>
      </c>
      <c r="D59" s="73">
        <v>1</v>
      </c>
      <c r="E59" s="144" t="s">
        <v>121</v>
      </c>
      <c r="F59" s="75">
        <v>41610</v>
      </c>
      <c r="G59" s="143">
        <f>24/40</f>
        <v>0.6</v>
      </c>
      <c r="H59" s="73" t="s">
        <v>68</v>
      </c>
      <c r="I59" s="73" t="s">
        <v>68</v>
      </c>
      <c r="J59" s="144" t="s">
        <v>68</v>
      </c>
      <c r="K59" s="203" t="s">
        <v>68</v>
      </c>
    </row>
    <row r="60" spans="1:11" x14ac:dyDescent="0.25">
      <c r="A60" s="22">
        <v>58</v>
      </c>
      <c r="B60" s="73" t="s">
        <v>50</v>
      </c>
      <c r="C60" s="144">
        <v>45</v>
      </c>
      <c r="D60" s="73">
        <v>1</v>
      </c>
      <c r="E60" s="144" t="s">
        <v>120</v>
      </c>
      <c r="F60" s="75">
        <v>41597</v>
      </c>
      <c r="G60" s="143">
        <f>30/45</f>
        <v>0.66666666666666663</v>
      </c>
      <c r="H60" s="73" t="s">
        <v>68</v>
      </c>
      <c r="I60" s="73" t="s">
        <v>68</v>
      </c>
      <c r="J60" s="144" t="s">
        <v>68</v>
      </c>
      <c r="K60" s="73" t="s">
        <v>68</v>
      </c>
    </row>
    <row r="61" spans="1:11" x14ac:dyDescent="0.25">
      <c r="A61" s="22">
        <v>59</v>
      </c>
      <c r="B61" s="73" t="s">
        <v>26</v>
      </c>
      <c r="C61" s="144">
        <v>36</v>
      </c>
      <c r="D61" s="73">
        <v>1</v>
      </c>
      <c r="E61" s="144" t="s">
        <v>119</v>
      </c>
      <c r="F61" s="192">
        <v>41613</v>
      </c>
      <c r="G61" s="143">
        <f>24/36</f>
        <v>0.66666666666666663</v>
      </c>
      <c r="H61" s="77" t="s">
        <v>68</v>
      </c>
      <c r="I61" s="73" t="s">
        <v>68</v>
      </c>
      <c r="J61" s="144" t="s">
        <v>68</v>
      </c>
      <c r="K61" s="73" t="s">
        <v>68</v>
      </c>
    </row>
    <row r="62" spans="1:11" x14ac:dyDescent="0.25">
      <c r="A62" s="22">
        <v>60</v>
      </c>
      <c r="B62" s="73" t="s">
        <v>31</v>
      </c>
      <c r="C62" s="144">
        <v>44</v>
      </c>
      <c r="D62" s="73">
        <v>2</v>
      </c>
      <c r="E62" s="144" t="s">
        <v>118</v>
      </c>
      <c r="F62" s="192">
        <v>41592</v>
      </c>
      <c r="G62" s="143">
        <f>29/44</f>
        <v>0.65909090909090906</v>
      </c>
      <c r="H62" s="77" t="s">
        <v>68</v>
      </c>
      <c r="I62" s="73" t="s">
        <v>68</v>
      </c>
      <c r="J62" s="144" t="s">
        <v>68</v>
      </c>
      <c r="K62" s="203" t="s">
        <v>68</v>
      </c>
    </row>
    <row r="63" spans="1:11" x14ac:dyDescent="0.25">
      <c r="A63" s="22">
        <v>61</v>
      </c>
      <c r="B63" s="73" t="s">
        <v>12</v>
      </c>
      <c r="C63" s="144">
        <v>45</v>
      </c>
      <c r="D63" s="73">
        <v>0</v>
      </c>
      <c r="E63" s="190" t="s">
        <v>191</v>
      </c>
      <c r="F63" s="192">
        <v>41912</v>
      </c>
      <c r="G63" s="143">
        <f>29/C63</f>
        <v>0.64444444444444449</v>
      </c>
      <c r="H63" s="77" t="s">
        <v>68</v>
      </c>
      <c r="I63" s="73" t="s">
        <v>68</v>
      </c>
      <c r="J63" s="144" t="s">
        <v>68</v>
      </c>
      <c r="K63" s="73" t="s">
        <v>68</v>
      </c>
    </row>
    <row r="64" spans="1:11" x14ac:dyDescent="0.25">
      <c r="A64" s="22">
        <v>62</v>
      </c>
      <c r="B64" s="73" t="s">
        <v>83</v>
      </c>
      <c r="C64" s="144">
        <v>45</v>
      </c>
      <c r="D64" s="73">
        <v>3</v>
      </c>
      <c r="E64" s="73" t="s">
        <v>162</v>
      </c>
      <c r="F64" s="128">
        <v>41857</v>
      </c>
      <c r="G64" s="186">
        <f>29/C64</f>
        <v>0.64444444444444449</v>
      </c>
      <c r="H64" s="73" t="s">
        <v>68</v>
      </c>
      <c r="I64" s="73" t="s">
        <v>68</v>
      </c>
      <c r="J64" s="144" t="s">
        <v>68</v>
      </c>
      <c r="K64" s="73" t="s">
        <v>68</v>
      </c>
    </row>
    <row r="65" spans="1:11" x14ac:dyDescent="0.25">
      <c r="A65" s="22">
        <v>63</v>
      </c>
      <c r="B65" s="73" t="s">
        <v>10</v>
      </c>
      <c r="C65" s="144">
        <v>50</v>
      </c>
      <c r="D65" s="73">
        <v>1</v>
      </c>
      <c r="E65" s="193" t="s">
        <v>176</v>
      </c>
      <c r="F65" s="128">
        <v>41891</v>
      </c>
      <c r="G65" s="143">
        <f>31/C65</f>
        <v>0.62</v>
      </c>
      <c r="H65" s="73" t="s">
        <v>68</v>
      </c>
      <c r="I65" s="73" t="s">
        <v>68</v>
      </c>
      <c r="J65" s="144" t="s">
        <v>68</v>
      </c>
      <c r="K65" s="73" t="s">
        <v>68</v>
      </c>
    </row>
    <row r="66" spans="1:11" x14ac:dyDescent="0.25">
      <c r="A66" s="22">
        <v>64</v>
      </c>
      <c r="B66" s="77" t="s">
        <v>393</v>
      </c>
      <c r="C66" s="198">
        <v>60</v>
      </c>
      <c r="D66" s="77">
        <v>2</v>
      </c>
      <c r="E66" s="207" t="s">
        <v>211</v>
      </c>
      <c r="F66" s="192">
        <v>41942</v>
      </c>
      <c r="G66" s="204">
        <f>36/C66</f>
        <v>0.6</v>
      </c>
      <c r="H66" s="77" t="s">
        <v>68</v>
      </c>
      <c r="I66" s="73" t="s">
        <v>68</v>
      </c>
      <c r="J66" s="144" t="s">
        <v>68</v>
      </c>
      <c r="K66" s="73" t="s">
        <v>68</v>
      </c>
    </row>
    <row r="67" spans="1:11" x14ac:dyDescent="0.25">
      <c r="A67" s="22">
        <v>65</v>
      </c>
      <c r="B67" s="73" t="s">
        <v>388</v>
      </c>
      <c r="C67" s="144">
        <v>75</v>
      </c>
      <c r="D67" s="73">
        <v>0</v>
      </c>
      <c r="E67" s="193" t="s">
        <v>188</v>
      </c>
      <c r="F67" s="75">
        <v>41939</v>
      </c>
      <c r="G67" s="143">
        <f>50/C67</f>
        <v>0.66666666666666663</v>
      </c>
      <c r="H67" s="73" t="s">
        <v>68</v>
      </c>
      <c r="I67" s="73" t="s">
        <v>68</v>
      </c>
      <c r="J67" s="144" t="s">
        <v>68</v>
      </c>
      <c r="K67" s="203" t="s">
        <v>68</v>
      </c>
    </row>
    <row r="68" spans="1:11" ht="15.75" thickBot="1" x14ac:dyDescent="0.3">
      <c r="A68" s="22">
        <v>66</v>
      </c>
      <c r="B68" s="167" t="s">
        <v>49</v>
      </c>
      <c r="C68" s="171">
        <v>75</v>
      </c>
      <c r="D68" s="167">
        <v>0</v>
      </c>
      <c r="E68" s="171" t="s">
        <v>116</v>
      </c>
      <c r="F68" s="177">
        <v>41611</v>
      </c>
      <c r="G68" s="178">
        <f>45/75</f>
        <v>0.6</v>
      </c>
      <c r="H68" s="167" t="s">
        <v>68</v>
      </c>
      <c r="I68" s="167" t="s">
        <v>68</v>
      </c>
      <c r="J68" s="171" t="s">
        <v>68</v>
      </c>
      <c r="K68" s="167" t="s">
        <v>68</v>
      </c>
    </row>
    <row r="69" spans="1:11" x14ac:dyDescent="0.25">
      <c r="A69" s="48"/>
      <c r="B69" s="47"/>
      <c r="E69" s="1"/>
      <c r="F69" s="1"/>
      <c r="G69" s="31">
        <f>COUNTA(G3:G68)</f>
        <v>66</v>
      </c>
      <c r="H69" s="31">
        <f>COUNTA(H3:H68)</f>
        <v>66</v>
      </c>
      <c r="I69" s="31">
        <f>COUNTA(I3:I68)</f>
        <v>66</v>
      </c>
      <c r="J69" s="31">
        <f>COUNTA(J3:J68)</f>
        <v>66</v>
      </c>
      <c r="K69" s="31">
        <f>COUNTA(K3:K68)</f>
        <v>66</v>
      </c>
    </row>
    <row r="70" spans="1:11" s="2" customFormat="1" x14ac:dyDescent="0.25">
      <c r="A70" s="106"/>
      <c r="B70" s="47"/>
      <c r="E70" s="1"/>
      <c r="F70" s="1"/>
      <c r="G70" s="31"/>
      <c r="H70" s="31"/>
      <c r="I70" s="31"/>
      <c r="J70" s="31"/>
      <c r="K70" s="31"/>
    </row>
    <row r="71" spans="1:11" ht="16.5" thickBot="1" x14ac:dyDescent="0.3">
      <c r="A71" s="91"/>
      <c r="B71" s="91"/>
      <c r="D71" s="90" t="s">
        <v>229</v>
      </c>
    </row>
    <row r="72" spans="1:11" ht="60.75" thickBot="1" x14ac:dyDescent="0.3">
      <c r="A72" s="36" t="s">
        <v>0</v>
      </c>
      <c r="B72" s="37" t="s">
        <v>1</v>
      </c>
      <c r="C72" s="38" t="s">
        <v>94</v>
      </c>
      <c r="D72" s="53" t="s">
        <v>95</v>
      </c>
      <c r="E72" s="53" t="s">
        <v>102</v>
      </c>
      <c r="F72" s="38" t="s">
        <v>2</v>
      </c>
      <c r="G72" s="53" t="s">
        <v>69</v>
      </c>
      <c r="H72" s="53" t="s">
        <v>3</v>
      </c>
    </row>
    <row r="73" spans="1:11" x14ac:dyDescent="0.25">
      <c r="A73" s="22">
        <v>1</v>
      </c>
      <c r="B73" s="103" t="s">
        <v>32</v>
      </c>
      <c r="C73" s="103">
        <v>38</v>
      </c>
      <c r="D73" s="124">
        <v>18</v>
      </c>
      <c r="E73" s="103" t="s">
        <v>145</v>
      </c>
      <c r="F73" s="201">
        <v>42436</v>
      </c>
      <c r="G73" s="202">
        <f>24/38</f>
        <v>0.63157894736842102</v>
      </c>
      <c r="H73" s="124"/>
    </row>
    <row r="74" spans="1:11" x14ac:dyDescent="0.25">
      <c r="A74" s="22">
        <v>2</v>
      </c>
      <c r="B74" s="73" t="s">
        <v>46</v>
      </c>
      <c r="C74" s="73">
        <v>40</v>
      </c>
      <c r="D74" s="89">
        <v>0</v>
      </c>
      <c r="E74" s="73" t="s">
        <v>114</v>
      </c>
      <c r="F74" s="128">
        <v>41603</v>
      </c>
      <c r="G74" s="143">
        <f>23/40</f>
        <v>0.57499999999999996</v>
      </c>
      <c r="H74" s="67" t="s">
        <v>75</v>
      </c>
    </row>
    <row r="75" spans="1:11" x14ac:dyDescent="0.25">
      <c r="A75" s="22">
        <v>3</v>
      </c>
      <c r="B75" s="73" t="s">
        <v>30</v>
      </c>
      <c r="C75" s="73">
        <v>65</v>
      </c>
      <c r="D75" s="89">
        <v>1</v>
      </c>
      <c r="E75" s="73" t="s">
        <v>140</v>
      </c>
      <c r="F75" s="128">
        <v>41597</v>
      </c>
      <c r="G75" s="143">
        <f>37/65</f>
        <v>0.56923076923076921</v>
      </c>
      <c r="H75" s="67" t="s">
        <v>75</v>
      </c>
    </row>
    <row r="76" spans="1:11" x14ac:dyDescent="0.25">
      <c r="A76" s="22">
        <v>4</v>
      </c>
      <c r="B76" s="77" t="s">
        <v>63</v>
      </c>
      <c r="C76" s="73">
        <v>120</v>
      </c>
      <c r="D76" s="89">
        <v>72</v>
      </c>
      <c r="E76" s="73" t="s">
        <v>126</v>
      </c>
      <c r="F76" s="162">
        <v>41598</v>
      </c>
      <c r="G76" s="163">
        <f>75/120</f>
        <v>0.625</v>
      </c>
      <c r="H76" s="93" t="s">
        <v>75</v>
      </c>
    </row>
    <row r="77" spans="1:11" x14ac:dyDescent="0.25">
      <c r="A77" s="22">
        <v>5</v>
      </c>
      <c r="B77" s="73" t="s">
        <v>5</v>
      </c>
      <c r="C77" s="144">
        <v>6</v>
      </c>
      <c r="D77" s="73">
        <v>3</v>
      </c>
      <c r="E77" s="190" t="s">
        <v>186</v>
      </c>
      <c r="F77" s="138">
        <v>41890</v>
      </c>
      <c r="G77" s="143">
        <f>5/C77</f>
        <v>0.83333333333333337</v>
      </c>
      <c r="H77" s="67" t="s">
        <v>75</v>
      </c>
    </row>
    <row r="78" spans="1:11" ht="15.75" thickBot="1" x14ac:dyDescent="0.3">
      <c r="A78" s="22">
        <v>6</v>
      </c>
      <c r="B78" s="167" t="s">
        <v>45</v>
      </c>
      <c r="C78" s="171">
        <v>53</v>
      </c>
      <c r="D78" s="167">
        <v>1</v>
      </c>
      <c r="E78" s="171" t="s">
        <v>133</v>
      </c>
      <c r="F78" s="169">
        <v>42612</v>
      </c>
      <c r="G78" s="345">
        <f>36/C78</f>
        <v>0.67924528301886788</v>
      </c>
      <c r="H78" s="167"/>
    </row>
    <row r="79" spans="1:11" x14ac:dyDescent="0.25">
      <c r="A79" s="48"/>
      <c r="B79" s="47"/>
      <c r="C79" s="33"/>
      <c r="D79" s="33"/>
      <c r="E79" s="47"/>
      <c r="F79" s="54"/>
      <c r="G79" s="47"/>
      <c r="H79" s="47"/>
    </row>
    <row r="80" spans="1:11" ht="16.5" thickBot="1" x14ac:dyDescent="0.3">
      <c r="A80" s="92"/>
      <c r="B80" s="92"/>
      <c r="D80" s="90" t="s">
        <v>491</v>
      </c>
    </row>
    <row r="81" spans="1:8" ht="45.75" customHeight="1" thickBot="1" x14ac:dyDescent="0.3">
      <c r="A81" s="36" t="s">
        <v>0</v>
      </c>
      <c r="B81" s="37" t="s">
        <v>1</v>
      </c>
      <c r="C81" s="18" t="s">
        <v>94</v>
      </c>
      <c r="D81" s="18" t="s">
        <v>95</v>
      </c>
      <c r="E81" s="18" t="s">
        <v>102</v>
      </c>
      <c r="F81" s="38" t="s">
        <v>2</v>
      </c>
      <c r="G81" s="69" t="s">
        <v>69</v>
      </c>
      <c r="H81" s="94" t="s">
        <v>3</v>
      </c>
    </row>
    <row r="82" spans="1:8" x14ac:dyDescent="0.25">
      <c r="A82" s="21">
        <v>1</v>
      </c>
      <c r="B82" s="102" t="s">
        <v>39</v>
      </c>
      <c r="C82" s="102">
        <v>65</v>
      </c>
      <c r="D82" s="127">
        <v>3</v>
      </c>
      <c r="E82" s="102" t="s">
        <v>157</v>
      </c>
      <c r="F82" s="142">
        <v>42458</v>
      </c>
      <c r="G82" s="27">
        <f>0.446153846153846</f>
        <v>0.44615384615384601</v>
      </c>
      <c r="H82" s="72"/>
    </row>
    <row r="83" spans="1:8" x14ac:dyDescent="0.25">
      <c r="A83" s="21">
        <v>2</v>
      </c>
      <c r="B83" s="73" t="s">
        <v>70</v>
      </c>
      <c r="C83" s="73">
        <v>75</v>
      </c>
      <c r="D83" s="89">
        <v>1</v>
      </c>
      <c r="E83" s="193" t="s">
        <v>198</v>
      </c>
      <c r="F83" s="128">
        <v>41906</v>
      </c>
      <c r="G83" s="97">
        <f>28/C83</f>
        <v>0.37333333333333335</v>
      </c>
      <c r="H83" s="63"/>
    </row>
    <row r="84" spans="1:8" x14ac:dyDescent="0.25">
      <c r="A84" s="21">
        <v>3</v>
      </c>
      <c r="B84" s="73" t="s">
        <v>55</v>
      </c>
      <c r="C84" s="73">
        <v>54</v>
      </c>
      <c r="D84" s="89">
        <v>2</v>
      </c>
      <c r="E84" s="73" t="s">
        <v>149</v>
      </c>
      <c r="F84" s="128">
        <v>41604</v>
      </c>
      <c r="G84" s="51" t="s">
        <v>72</v>
      </c>
      <c r="H84" s="63"/>
    </row>
    <row r="85" spans="1:8" x14ac:dyDescent="0.25">
      <c r="A85" s="21">
        <v>4</v>
      </c>
      <c r="B85" s="77" t="s">
        <v>51</v>
      </c>
      <c r="C85" s="73">
        <v>75</v>
      </c>
      <c r="D85" s="89">
        <v>3</v>
      </c>
      <c r="E85" s="73" t="s">
        <v>155</v>
      </c>
      <c r="F85" s="162">
        <v>41599</v>
      </c>
      <c r="G85" s="51" t="s">
        <v>72</v>
      </c>
      <c r="H85" s="66"/>
    </row>
    <row r="86" spans="1:8" x14ac:dyDescent="0.25">
      <c r="A86" s="21">
        <v>5</v>
      </c>
      <c r="B86" s="77" t="s">
        <v>104</v>
      </c>
      <c r="C86" s="73">
        <v>54</v>
      </c>
      <c r="D86" s="89">
        <v>1</v>
      </c>
      <c r="E86" s="73" t="s">
        <v>215</v>
      </c>
      <c r="F86" s="162">
        <v>42109</v>
      </c>
      <c r="G86" s="62">
        <f>10/C86</f>
        <v>0.18518518518518517</v>
      </c>
      <c r="H86" s="66"/>
    </row>
    <row r="87" spans="1:8" x14ac:dyDescent="0.25">
      <c r="A87" s="21">
        <v>6</v>
      </c>
      <c r="B87" s="77" t="s">
        <v>106</v>
      </c>
      <c r="C87" s="73">
        <v>45</v>
      </c>
      <c r="D87" s="89">
        <v>2</v>
      </c>
      <c r="E87" s="73" t="s">
        <v>214</v>
      </c>
      <c r="F87" s="162">
        <v>41984</v>
      </c>
      <c r="G87" s="97">
        <f>7/C87</f>
        <v>0.15555555555555556</v>
      </c>
      <c r="H87" s="66"/>
    </row>
    <row r="88" spans="1:8" x14ac:dyDescent="0.25">
      <c r="A88" s="21">
        <v>7</v>
      </c>
      <c r="B88" s="73" t="s">
        <v>84</v>
      </c>
      <c r="C88" s="73">
        <v>54</v>
      </c>
      <c r="D88" s="89">
        <v>0</v>
      </c>
      <c r="E88" s="193" t="s">
        <v>205</v>
      </c>
      <c r="F88" s="128">
        <v>42060</v>
      </c>
      <c r="G88" s="62">
        <f>18/C88</f>
        <v>0.33333333333333331</v>
      </c>
      <c r="H88" s="63"/>
    </row>
    <row r="89" spans="1:8" x14ac:dyDescent="0.25">
      <c r="A89" s="21">
        <v>8</v>
      </c>
      <c r="B89" s="73" t="s">
        <v>89</v>
      </c>
      <c r="C89" s="73">
        <v>54</v>
      </c>
      <c r="D89" s="89">
        <v>0</v>
      </c>
      <c r="E89" s="193" t="s">
        <v>197</v>
      </c>
      <c r="F89" s="128">
        <v>41905</v>
      </c>
      <c r="G89" s="62">
        <f>16/C89</f>
        <v>0.29629629629629628</v>
      </c>
      <c r="H89" s="63"/>
    </row>
    <row r="90" spans="1:8" x14ac:dyDescent="0.25">
      <c r="A90" s="21">
        <v>9</v>
      </c>
      <c r="B90" s="73" t="s">
        <v>64</v>
      </c>
      <c r="C90" s="73">
        <v>18</v>
      </c>
      <c r="D90" s="89">
        <v>0</v>
      </c>
      <c r="E90" s="73" t="s">
        <v>146</v>
      </c>
      <c r="F90" s="128">
        <v>41604</v>
      </c>
      <c r="G90" s="27">
        <f>8/18</f>
        <v>0.44444444444444442</v>
      </c>
      <c r="H90" s="63"/>
    </row>
    <row r="91" spans="1:8" x14ac:dyDescent="0.25">
      <c r="A91" s="21">
        <v>10</v>
      </c>
      <c r="B91" s="102" t="s">
        <v>24</v>
      </c>
      <c r="C91" s="152">
        <v>72</v>
      </c>
      <c r="D91" s="102">
        <v>1</v>
      </c>
      <c r="E91" s="152" t="s">
        <v>142</v>
      </c>
      <c r="F91" s="188">
        <v>41599</v>
      </c>
      <c r="G91" s="99" t="s">
        <v>72</v>
      </c>
      <c r="H91" s="95"/>
    </row>
    <row r="92" spans="1:8" x14ac:dyDescent="0.25">
      <c r="A92" s="21">
        <v>11</v>
      </c>
      <c r="B92" s="73" t="s">
        <v>386</v>
      </c>
      <c r="C92" s="144">
        <v>60</v>
      </c>
      <c r="D92" s="73">
        <v>3</v>
      </c>
      <c r="E92" s="152" t="s">
        <v>166</v>
      </c>
      <c r="F92" s="138">
        <v>41864</v>
      </c>
      <c r="G92" s="97">
        <f>20/C92</f>
        <v>0.33333333333333331</v>
      </c>
      <c r="H92" s="63"/>
    </row>
    <row r="93" spans="1:8" x14ac:dyDescent="0.25">
      <c r="A93" s="21">
        <v>12</v>
      </c>
      <c r="B93" s="73" t="s">
        <v>384</v>
      </c>
      <c r="C93" s="144">
        <v>45</v>
      </c>
      <c r="D93" s="73">
        <v>0</v>
      </c>
      <c r="E93" s="175" t="s">
        <v>165</v>
      </c>
      <c r="F93" s="138">
        <v>41954</v>
      </c>
      <c r="G93" s="62">
        <f>20/C93</f>
        <v>0.44444444444444442</v>
      </c>
      <c r="H93" s="63"/>
    </row>
    <row r="94" spans="1:8" x14ac:dyDescent="0.25">
      <c r="A94" s="21">
        <v>13</v>
      </c>
      <c r="B94" s="73" t="s">
        <v>385</v>
      </c>
      <c r="C94" s="144">
        <v>20</v>
      </c>
      <c r="D94" s="73">
        <v>0</v>
      </c>
      <c r="E94" s="152" t="s">
        <v>132</v>
      </c>
      <c r="F94" s="138">
        <v>41610</v>
      </c>
      <c r="G94" s="27">
        <f>3/20</f>
        <v>0.15</v>
      </c>
      <c r="H94" s="63"/>
    </row>
    <row r="95" spans="1:8" x14ac:dyDescent="0.25">
      <c r="A95" s="21">
        <v>14</v>
      </c>
      <c r="B95" s="73" t="s">
        <v>18</v>
      </c>
      <c r="C95" s="144">
        <v>80</v>
      </c>
      <c r="D95" s="73">
        <v>2</v>
      </c>
      <c r="E95" s="175" t="s">
        <v>177</v>
      </c>
      <c r="F95" s="138">
        <v>41897</v>
      </c>
      <c r="G95" s="27">
        <f>20/C95</f>
        <v>0.25</v>
      </c>
      <c r="H95" s="63"/>
    </row>
    <row r="96" spans="1:8" x14ac:dyDescent="0.25">
      <c r="A96" s="21">
        <v>15</v>
      </c>
      <c r="B96" s="73" t="s">
        <v>58</v>
      </c>
      <c r="C96" s="144">
        <v>25</v>
      </c>
      <c r="D96" s="73">
        <v>0</v>
      </c>
      <c r="E96" s="152" t="s">
        <v>130</v>
      </c>
      <c r="F96" s="138">
        <v>41611</v>
      </c>
      <c r="G96" s="98" t="s">
        <v>72</v>
      </c>
      <c r="H96" s="63"/>
    </row>
    <row r="97" spans="1:10" x14ac:dyDescent="0.25">
      <c r="A97" s="21">
        <v>16</v>
      </c>
      <c r="B97" s="73" t="s">
        <v>389</v>
      </c>
      <c r="C97" s="144">
        <v>20</v>
      </c>
      <c r="D97" s="73">
        <v>0</v>
      </c>
      <c r="E97" s="175" t="s">
        <v>193</v>
      </c>
      <c r="F97" s="138">
        <v>41892</v>
      </c>
      <c r="G97" s="27">
        <f>7/C97</f>
        <v>0.35</v>
      </c>
      <c r="H97" s="63" t="s">
        <v>202</v>
      </c>
    </row>
    <row r="98" spans="1:10" x14ac:dyDescent="0.25">
      <c r="A98" s="21">
        <v>17</v>
      </c>
      <c r="B98" s="73" t="s">
        <v>175</v>
      </c>
      <c r="C98" s="144">
        <v>30</v>
      </c>
      <c r="D98" s="73">
        <v>0</v>
      </c>
      <c r="E98" s="144" t="s">
        <v>128</v>
      </c>
      <c r="F98" s="75">
        <v>41598</v>
      </c>
      <c r="G98" s="27">
        <f>4/18</f>
        <v>0.22222222222222221</v>
      </c>
      <c r="H98" s="63"/>
    </row>
    <row r="99" spans="1:10" x14ac:dyDescent="0.25">
      <c r="A99" s="21">
        <v>18</v>
      </c>
      <c r="B99" s="73" t="s">
        <v>59</v>
      </c>
      <c r="C99" s="144">
        <v>75</v>
      </c>
      <c r="D99" s="73">
        <v>20</v>
      </c>
      <c r="E99" s="144" t="s">
        <v>127</v>
      </c>
      <c r="F99" s="75">
        <v>41598</v>
      </c>
      <c r="G99" s="98" t="s">
        <v>72</v>
      </c>
      <c r="H99" s="88"/>
    </row>
    <row r="100" spans="1:10" x14ac:dyDescent="0.25">
      <c r="A100" s="21">
        <v>19</v>
      </c>
      <c r="B100" s="73" t="s">
        <v>62</v>
      </c>
      <c r="C100" s="144">
        <v>60</v>
      </c>
      <c r="D100" s="73">
        <v>9</v>
      </c>
      <c r="E100" s="144" t="s">
        <v>125</v>
      </c>
      <c r="F100" s="192">
        <v>41591</v>
      </c>
      <c r="G100" s="98" t="s">
        <v>72</v>
      </c>
      <c r="H100" s="66"/>
    </row>
    <row r="101" spans="1:10" x14ac:dyDescent="0.25">
      <c r="A101" s="21">
        <v>20</v>
      </c>
      <c r="B101" s="73" t="s">
        <v>15</v>
      </c>
      <c r="C101" s="144">
        <v>75</v>
      </c>
      <c r="D101" s="73">
        <v>13</v>
      </c>
      <c r="E101" s="190" t="s">
        <v>189</v>
      </c>
      <c r="F101" s="192">
        <v>41898</v>
      </c>
      <c r="G101" s="27">
        <f>17/C101</f>
        <v>0.22666666666666666</v>
      </c>
      <c r="H101" s="66"/>
    </row>
    <row r="102" spans="1:10" x14ac:dyDescent="0.25">
      <c r="A102" s="21">
        <v>21</v>
      </c>
      <c r="B102" s="73" t="s">
        <v>392</v>
      </c>
      <c r="C102" s="144">
        <v>8</v>
      </c>
      <c r="D102" s="73">
        <v>0</v>
      </c>
      <c r="E102" s="190" t="s">
        <v>183</v>
      </c>
      <c r="F102" s="192">
        <v>41900</v>
      </c>
      <c r="G102" s="51" t="s">
        <v>72</v>
      </c>
      <c r="H102" s="66"/>
    </row>
    <row r="103" spans="1:10" x14ac:dyDescent="0.25">
      <c r="A103" s="21">
        <v>22</v>
      </c>
      <c r="B103" s="73" t="s">
        <v>391</v>
      </c>
      <c r="C103" s="144">
        <v>28</v>
      </c>
      <c r="D103" s="73">
        <v>0</v>
      </c>
      <c r="E103" s="73" t="s">
        <v>122</v>
      </c>
      <c r="F103" s="128">
        <v>41596</v>
      </c>
      <c r="G103" s="98" t="s">
        <v>72</v>
      </c>
      <c r="H103" s="63"/>
    </row>
    <row r="104" spans="1:10" x14ac:dyDescent="0.25">
      <c r="A104" s="21">
        <v>23</v>
      </c>
      <c r="B104" s="73" t="s">
        <v>4</v>
      </c>
      <c r="C104" s="144">
        <v>45</v>
      </c>
      <c r="D104" s="73">
        <v>0</v>
      </c>
      <c r="E104" s="193" t="s">
        <v>192</v>
      </c>
      <c r="F104" s="128">
        <v>41890</v>
      </c>
      <c r="G104" s="27">
        <f>20/C104</f>
        <v>0.44444444444444442</v>
      </c>
      <c r="H104" s="63"/>
    </row>
    <row r="105" spans="1:10" x14ac:dyDescent="0.25">
      <c r="A105" s="21">
        <v>24</v>
      </c>
      <c r="B105" s="73" t="s">
        <v>16</v>
      </c>
      <c r="C105" s="144">
        <v>50</v>
      </c>
      <c r="D105" s="73">
        <v>1</v>
      </c>
      <c r="E105" s="193" t="s">
        <v>178</v>
      </c>
      <c r="F105" s="138">
        <v>42306</v>
      </c>
      <c r="G105" s="27">
        <f>17/C105</f>
        <v>0.34</v>
      </c>
      <c r="H105" s="63"/>
    </row>
    <row r="106" spans="1:10" x14ac:dyDescent="0.25">
      <c r="A106" s="21">
        <v>25</v>
      </c>
      <c r="B106" s="73" t="s">
        <v>17</v>
      </c>
      <c r="C106" s="144">
        <v>54</v>
      </c>
      <c r="D106" s="73">
        <v>1</v>
      </c>
      <c r="E106" s="190" t="s">
        <v>187</v>
      </c>
      <c r="F106" s="75">
        <v>41893</v>
      </c>
      <c r="G106" s="27">
        <f>16/C106</f>
        <v>0.29629629629629628</v>
      </c>
      <c r="H106" s="63"/>
    </row>
    <row r="107" spans="1:10" x14ac:dyDescent="0.25">
      <c r="A107" s="21">
        <v>26</v>
      </c>
      <c r="B107" s="102" t="s">
        <v>90</v>
      </c>
      <c r="C107" s="152">
        <v>75</v>
      </c>
      <c r="D107" s="102">
        <v>2</v>
      </c>
      <c r="E107" s="175" t="s">
        <v>206</v>
      </c>
      <c r="F107" s="176">
        <v>41941</v>
      </c>
      <c r="G107" s="95" t="s">
        <v>212</v>
      </c>
      <c r="H107" s="96"/>
    </row>
    <row r="108" spans="1:10" x14ac:dyDescent="0.25">
      <c r="A108" s="21">
        <v>27</v>
      </c>
      <c r="B108" s="102" t="s">
        <v>21</v>
      </c>
      <c r="C108" s="144">
        <v>36</v>
      </c>
      <c r="D108" s="73">
        <v>0</v>
      </c>
      <c r="E108" s="144" t="s">
        <v>113</v>
      </c>
      <c r="F108" s="75">
        <v>41820</v>
      </c>
      <c r="G108" s="63"/>
      <c r="H108" s="67"/>
    </row>
    <row r="109" spans="1:10" x14ac:dyDescent="0.25">
      <c r="A109" s="21">
        <v>28</v>
      </c>
      <c r="B109" s="208" t="s">
        <v>44</v>
      </c>
      <c r="C109" s="144">
        <v>18</v>
      </c>
      <c r="D109" s="73">
        <v>0</v>
      </c>
      <c r="E109" s="144" t="s">
        <v>115</v>
      </c>
      <c r="F109" s="75">
        <v>41606</v>
      </c>
      <c r="G109" s="98" t="s">
        <v>72</v>
      </c>
      <c r="H109" s="67"/>
    </row>
    <row r="110" spans="1:10" x14ac:dyDescent="0.25">
      <c r="A110" s="21">
        <v>29</v>
      </c>
      <c r="B110" s="73" t="s">
        <v>91</v>
      </c>
      <c r="C110" s="144">
        <v>45</v>
      </c>
      <c r="D110" s="73">
        <v>2</v>
      </c>
      <c r="E110" s="144" t="s">
        <v>158</v>
      </c>
      <c r="F110" s="75">
        <v>41842</v>
      </c>
      <c r="G110" s="62">
        <f>21/C110</f>
        <v>0.46666666666666667</v>
      </c>
      <c r="H110" s="67"/>
    </row>
    <row r="111" spans="1:10" x14ac:dyDescent="0.25">
      <c r="A111" s="21">
        <v>30</v>
      </c>
      <c r="B111" s="77" t="s">
        <v>66</v>
      </c>
      <c r="C111" s="73">
        <v>8</v>
      </c>
      <c r="D111" s="89">
        <v>0</v>
      </c>
      <c r="E111" s="73" t="s">
        <v>171</v>
      </c>
      <c r="F111" s="162">
        <v>41583</v>
      </c>
      <c r="G111" s="163">
        <f>SUM(8/8)</f>
        <v>1</v>
      </c>
      <c r="H111" s="77" t="s">
        <v>68</v>
      </c>
      <c r="I111" s="105" t="s">
        <v>244</v>
      </c>
      <c r="J111" s="1"/>
    </row>
    <row r="112" spans="1:10" x14ac:dyDescent="0.25">
      <c r="A112" s="21">
        <v>31</v>
      </c>
      <c r="B112" s="77" t="s">
        <v>67</v>
      </c>
      <c r="C112" s="77">
        <v>4</v>
      </c>
      <c r="D112" s="209">
        <v>0</v>
      </c>
      <c r="E112" s="77" t="s">
        <v>172</v>
      </c>
      <c r="F112" s="162">
        <v>41583</v>
      </c>
      <c r="G112" s="163">
        <f>SUM(4/4)</f>
        <v>1</v>
      </c>
      <c r="H112" s="77" t="s">
        <v>68</v>
      </c>
      <c r="I112" s="105" t="s">
        <v>244</v>
      </c>
      <c r="J112" s="1"/>
    </row>
    <row r="113" spans="1:10" s="2" customFormat="1" x14ac:dyDescent="0.25">
      <c r="A113" s="21">
        <v>32</v>
      </c>
      <c r="B113" s="73" t="s">
        <v>219</v>
      </c>
      <c r="C113" s="77">
        <v>6</v>
      </c>
      <c r="D113" s="89">
        <v>5</v>
      </c>
      <c r="E113" s="73" t="s">
        <v>239</v>
      </c>
      <c r="F113" s="128">
        <v>42180</v>
      </c>
      <c r="G113" s="186">
        <f>5/6</f>
        <v>0.83333333333333337</v>
      </c>
      <c r="H113" s="63"/>
      <c r="I113" s="105" t="s">
        <v>244</v>
      </c>
      <c r="J113" s="1"/>
    </row>
    <row r="114" spans="1:10" ht="15.75" thickBot="1" x14ac:dyDescent="0.3">
      <c r="A114" s="24">
        <v>33</v>
      </c>
      <c r="B114" s="167" t="s">
        <v>33</v>
      </c>
      <c r="C114" s="171">
        <v>18</v>
      </c>
      <c r="D114" s="167">
        <v>0</v>
      </c>
      <c r="E114" s="167" t="s">
        <v>117</v>
      </c>
      <c r="F114" s="169">
        <v>41606</v>
      </c>
      <c r="G114" s="178">
        <f>13/18</f>
        <v>0.72222222222222221</v>
      </c>
      <c r="H114" s="167" t="s">
        <v>68</v>
      </c>
      <c r="I114" s="105" t="s">
        <v>244</v>
      </c>
      <c r="J114" s="1"/>
    </row>
    <row r="115" spans="1:10" s="2" customFormat="1" x14ac:dyDescent="0.25">
      <c r="A115" s="106"/>
      <c r="B115" s="47"/>
      <c r="C115" s="47"/>
      <c r="D115" s="47"/>
      <c r="E115" s="47"/>
      <c r="F115" s="54"/>
      <c r="G115" s="107"/>
      <c r="H115" s="47"/>
      <c r="I115" s="47"/>
      <c r="J115" s="1"/>
    </row>
    <row r="116" spans="1:10" x14ac:dyDescent="0.25">
      <c r="A116" s="2">
        <f>A68+A78+A114</f>
        <v>105</v>
      </c>
      <c r="B116" s="45"/>
      <c r="C116"/>
      <c r="D116"/>
      <c r="E116"/>
      <c r="F116"/>
      <c r="G116"/>
      <c r="H116"/>
    </row>
  </sheetData>
  <sortState xmlns:xlrd2="http://schemas.microsoft.com/office/spreadsheetml/2017/richdata2" ref="B72:H108">
    <sortCondition ref="B72:B108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4"/>
  <sheetViews>
    <sheetView topLeftCell="A112" workbookViewId="0">
      <selection activeCell="D19" sqref="D19"/>
    </sheetView>
  </sheetViews>
  <sheetFormatPr defaultRowHeight="15" x14ac:dyDescent="0.25"/>
  <cols>
    <col min="1" max="1" width="4.28515625" customWidth="1"/>
    <col min="2" max="2" width="25.5703125" customWidth="1"/>
    <col min="3" max="3" width="8.7109375" customWidth="1"/>
    <col min="5" max="5" width="12.140625" customWidth="1"/>
    <col min="6" max="6" width="15.28515625" customWidth="1"/>
    <col min="7" max="7" width="13.5703125" customWidth="1"/>
  </cols>
  <sheetData>
    <row r="1" spans="1:8" ht="51.75" thickBot="1" x14ac:dyDescent="0.3">
      <c r="A1" s="225" t="s">
        <v>0</v>
      </c>
      <c r="B1" s="226" t="s">
        <v>1</v>
      </c>
      <c r="C1" s="226" t="s">
        <v>257</v>
      </c>
      <c r="D1" s="226" t="s">
        <v>251</v>
      </c>
      <c r="E1" s="226" t="s">
        <v>416</v>
      </c>
      <c r="F1" s="227" t="s">
        <v>415</v>
      </c>
      <c r="G1" s="228" t="s">
        <v>417</v>
      </c>
    </row>
    <row r="2" spans="1:8" x14ac:dyDescent="0.25">
      <c r="A2" s="350">
        <v>1</v>
      </c>
      <c r="B2" s="369" t="s">
        <v>252</v>
      </c>
      <c r="C2" s="370">
        <v>1</v>
      </c>
      <c r="D2" s="371">
        <v>31.82</v>
      </c>
      <c r="E2" s="372"/>
      <c r="F2" s="373">
        <f t="shared" ref="F2:F77" si="0">D2*0.028*1.21</f>
        <v>1.0780615999999998</v>
      </c>
      <c r="G2" s="374">
        <v>14.77</v>
      </c>
    </row>
    <row r="3" spans="1:8" s="2" customFormat="1" x14ac:dyDescent="0.25">
      <c r="A3" s="22">
        <v>2</v>
      </c>
      <c r="B3" s="315" t="s">
        <v>253</v>
      </c>
      <c r="C3" s="316">
        <v>2</v>
      </c>
      <c r="D3" s="317">
        <v>50.35</v>
      </c>
      <c r="E3" s="314"/>
      <c r="F3" s="318">
        <f t="shared" si="0"/>
        <v>1.7058580000000001</v>
      </c>
      <c r="G3" s="375">
        <v>22.97</v>
      </c>
    </row>
    <row r="4" spans="1:8" s="2" customFormat="1" x14ac:dyDescent="0.25">
      <c r="A4" s="21">
        <v>3</v>
      </c>
      <c r="B4" s="319" t="s">
        <v>254</v>
      </c>
      <c r="C4" s="316">
        <v>1</v>
      </c>
      <c r="D4" s="317">
        <v>32.67</v>
      </c>
      <c r="E4" s="314"/>
      <c r="F4" s="318">
        <f t="shared" si="0"/>
        <v>1.1068595999999999</v>
      </c>
      <c r="G4" s="375">
        <v>13.54</v>
      </c>
    </row>
    <row r="5" spans="1:8" s="2" customFormat="1" x14ac:dyDescent="0.25">
      <c r="A5" s="22">
        <v>4</v>
      </c>
      <c r="B5" s="315" t="s">
        <v>255</v>
      </c>
      <c r="C5" s="316">
        <v>1</v>
      </c>
      <c r="D5" s="317">
        <v>35.81</v>
      </c>
      <c r="E5" s="314"/>
      <c r="F5" s="318">
        <f t="shared" si="0"/>
        <v>1.2132428</v>
      </c>
      <c r="G5" s="375">
        <v>17.989999999999998</v>
      </c>
    </row>
    <row r="6" spans="1:8" s="2" customFormat="1" ht="15.75" x14ac:dyDescent="0.25">
      <c r="A6" s="21">
        <v>5</v>
      </c>
      <c r="B6" s="315" t="s">
        <v>256</v>
      </c>
      <c r="C6" s="316">
        <v>1</v>
      </c>
      <c r="D6" s="317">
        <v>31.8</v>
      </c>
      <c r="E6" s="315"/>
      <c r="F6" s="318">
        <f t="shared" si="0"/>
        <v>1.0773840000000001</v>
      </c>
      <c r="G6" s="375">
        <v>13.18</v>
      </c>
      <c r="H6" s="122"/>
    </row>
    <row r="7" spans="1:8" x14ac:dyDescent="0.25">
      <c r="A7" s="21">
        <v>6</v>
      </c>
      <c r="B7" s="215" t="s">
        <v>258</v>
      </c>
      <c r="C7" s="211">
        <v>2</v>
      </c>
      <c r="D7" s="212">
        <v>49.72</v>
      </c>
      <c r="E7" s="213">
        <f>D7*0.051*1.21</f>
        <v>3.0682212</v>
      </c>
      <c r="F7" s="213">
        <f t="shared" si="0"/>
        <v>1.6845136000000001</v>
      </c>
      <c r="G7" s="376"/>
    </row>
    <row r="8" spans="1:8" x14ac:dyDescent="0.25">
      <c r="A8" s="22">
        <v>7</v>
      </c>
      <c r="B8" s="210" t="s">
        <v>259</v>
      </c>
      <c r="C8" s="211">
        <v>3</v>
      </c>
      <c r="D8" s="212">
        <v>64.5</v>
      </c>
      <c r="E8" s="213">
        <f>D8*0.051*1.21</f>
        <v>3.9802949999999999</v>
      </c>
      <c r="F8" s="213">
        <f t="shared" si="0"/>
        <v>2.18526</v>
      </c>
      <c r="G8" s="376">
        <v>17.39</v>
      </c>
    </row>
    <row r="9" spans="1:8" x14ac:dyDescent="0.25">
      <c r="A9" s="21">
        <v>8</v>
      </c>
      <c r="B9" s="320" t="s">
        <v>260</v>
      </c>
      <c r="C9" s="316">
        <v>2</v>
      </c>
      <c r="D9" s="317">
        <v>50.71</v>
      </c>
      <c r="E9" s="318"/>
      <c r="F9" s="318">
        <f t="shared" si="0"/>
        <v>1.7180548</v>
      </c>
      <c r="G9" s="375">
        <v>27.07</v>
      </c>
    </row>
    <row r="10" spans="1:8" x14ac:dyDescent="0.25">
      <c r="A10" s="21">
        <v>9</v>
      </c>
      <c r="B10" s="320" t="s">
        <v>261</v>
      </c>
      <c r="C10" s="316">
        <v>3</v>
      </c>
      <c r="D10" s="317">
        <v>63.83</v>
      </c>
      <c r="E10" s="318"/>
      <c r="F10" s="318">
        <f t="shared" si="0"/>
        <v>2.1625603999999998</v>
      </c>
      <c r="G10" s="377">
        <v>32</v>
      </c>
    </row>
    <row r="11" spans="1:8" x14ac:dyDescent="0.25">
      <c r="A11" s="22">
        <v>10</v>
      </c>
      <c r="B11" s="320" t="s">
        <v>262</v>
      </c>
      <c r="C11" s="316">
        <v>3</v>
      </c>
      <c r="D11" s="317">
        <v>64.87</v>
      </c>
      <c r="E11" s="318"/>
      <c r="F11" s="318">
        <f t="shared" si="0"/>
        <v>2.1977956000000001</v>
      </c>
      <c r="G11" s="375">
        <v>34.369999999999997</v>
      </c>
    </row>
    <row r="12" spans="1:8" x14ac:dyDescent="0.25">
      <c r="A12" s="21">
        <v>11</v>
      </c>
      <c r="B12" s="315" t="s">
        <v>263</v>
      </c>
      <c r="C12" s="316">
        <v>4</v>
      </c>
      <c r="D12" s="317">
        <v>81.89</v>
      </c>
      <c r="E12" s="318"/>
      <c r="F12" s="318">
        <f t="shared" si="0"/>
        <v>2.7744331999999998</v>
      </c>
      <c r="G12" s="377">
        <v>37.57</v>
      </c>
    </row>
    <row r="13" spans="1:8" x14ac:dyDescent="0.25">
      <c r="A13" s="21">
        <v>12</v>
      </c>
      <c r="B13" s="315" t="s">
        <v>264</v>
      </c>
      <c r="C13" s="316">
        <v>2</v>
      </c>
      <c r="D13" s="317">
        <v>50.05</v>
      </c>
      <c r="E13" s="318"/>
      <c r="F13" s="318">
        <f t="shared" si="0"/>
        <v>1.695694</v>
      </c>
      <c r="G13" s="375">
        <v>33.090000000000003</v>
      </c>
    </row>
    <row r="14" spans="1:8" s="2" customFormat="1" x14ac:dyDescent="0.25">
      <c r="A14" s="22">
        <v>13</v>
      </c>
      <c r="B14" s="346" t="s">
        <v>478</v>
      </c>
      <c r="C14" s="347"/>
      <c r="D14" s="348"/>
      <c r="E14" s="349"/>
      <c r="F14" s="349"/>
      <c r="G14" s="378"/>
    </row>
    <row r="15" spans="1:8" s="2" customFormat="1" x14ac:dyDescent="0.25">
      <c r="A15" s="21">
        <v>14</v>
      </c>
      <c r="B15" s="346" t="s">
        <v>479</v>
      </c>
      <c r="C15" s="347"/>
      <c r="D15" s="348"/>
      <c r="E15" s="349"/>
      <c r="F15" s="349"/>
      <c r="G15" s="378"/>
    </row>
    <row r="16" spans="1:8" x14ac:dyDescent="0.25">
      <c r="A16" s="21">
        <v>15</v>
      </c>
      <c r="B16" s="320" t="s">
        <v>265</v>
      </c>
      <c r="C16" s="321">
        <v>2</v>
      </c>
      <c r="D16" s="322">
        <v>49.79</v>
      </c>
      <c r="E16" s="318"/>
      <c r="F16" s="318">
        <f t="shared" si="0"/>
        <v>1.6868852000000001</v>
      </c>
      <c r="G16" s="375">
        <v>20.18</v>
      </c>
    </row>
    <row r="17" spans="1:7" x14ac:dyDescent="0.25">
      <c r="A17" s="22">
        <v>16</v>
      </c>
      <c r="B17" s="320" t="s">
        <v>266</v>
      </c>
      <c r="C17" s="316">
        <v>3</v>
      </c>
      <c r="D17" s="317">
        <v>73.55</v>
      </c>
      <c r="E17" s="318"/>
      <c r="F17" s="318">
        <f t="shared" si="0"/>
        <v>2.4918740000000001</v>
      </c>
      <c r="G17" s="375">
        <v>46.46</v>
      </c>
    </row>
    <row r="18" spans="1:7" x14ac:dyDescent="0.25">
      <c r="A18" s="21">
        <v>17</v>
      </c>
      <c r="B18" s="315" t="s">
        <v>267</v>
      </c>
      <c r="C18" s="316">
        <v>2</v>
      </c>
      <c r="D18" s="317">
        <v>48.09</v>
      </c>
      <c r="E18" s="318"/>
      <c r="F18" s="318">
        <f t="shared" si="0"/>
        <v>1.6292892000000001</v>
      </c>
      <c r="G18" s="375">
        <v>28.32</v>
      </c>
    </row>
    <row r="19" spans="1:7" x14ac:dyDescent="0.25">
      <c r="A19" s="21">
        <v>18</v>
      </c>
      <c r="B19" s="315" t="s">
        <v>268</v>
      </c>
      <c r="C19" s="316">
        <v>1</v>
      </c>
      <c r="D19" s="317">
        <v>33.46</v>
      </c>
      <c r="E19" s="318"/>
      <c r="F19" s="318">
        <f t="shared" si="0"/>
        <v>1.1336248</v>
      </c>
      <c r="G19" s="375">
        <v>20.86</v>
      </c>
    </row>
    <row r="20" spans="1:7" x14ac:dyDescent="0.25">
      <c r="A20" s="22">
        <v>19</v>
      </c>
      <c r="B20" s="315" t="s">
        <v>269</v>
      </c>
      <c r="C20" s="316">
        <v>2</v>
      </c>
      <c r="D20" s="317">
        <v>49.51</v>
      </c>
      <c r="E20" s="318"/>
      <c r="F20" s="318">
        <f t="shared" si="0"/>
        <v>1.6773988</v>
      </c>
      <c r="G20" s="375">
        <v>29.68</v>
      </c>
    </row>
    <row r="21" spans="1:7" x14ac:dyDescent="0.25">
      <c r="A21" s="21">
        <v>20</v>
      </c>
      <c r="B21" s="315" t="s">
        <v>270</v>
      </c>
      <c r="C21" s="316">
        <v>4</v>
      </c>
      <c r="D21" s="317">
        <v>73.260000000000005</v>
      </c>
      <c r="E21" s="318"/>
      <c r="F21" s="318">
        <f t="shared" si="0"/>
        <v>2.4820488000000003</v>
      </c>
      <c r="G21" s="375">
        <v>51.45</v>
      </c>
    </row>
    <row r="22" spans="1:7" x14ac:dyDescent="0.25">
      <c r="A22" s="21">
        <v>21</v>
      </c>
      <c r="B22" s="315" t="s">
        <v>271</v>
      </c>
      <c r="C22" s="316">
        <v>2</v>
      </c>
      <c r="D22" s="317">
        <v>48.25</v>
      </c>
      <c r="E22" s="318"/>
      <c r="F22" s="318">
        <f t="shared" si="0"/>
        <v>1.6347099999999999</v>
      </c>
      <c r="G22" s="375">
        <v>28.41</v>
      </c>
    </row>
    <row r="23" spans="1:7" x14ac:dyDescent="0.25">
      <c r="A23" s="22">
        <v>22</v>
      </c>
      <c r="B23" s="315" t="s">
        <v>272</v>
      </c>
      <c r="C23" s="316">
        <v>1</v>
      </c>
      <c r="D23" s="317">
        <v>33.6</v>
      </c>
      <c r="E23" s="318"/>
      <c r="F23" s="318">
        <f t="shared" si="0"/>
        <v>1.138368</v>
      </c>
      <c r="G23" s="375">
        <v>21.52</v>
      </c>
    </row>
    <row r="24" spans="1:7" s="2" customFormat="1" x14ac:dyDescent="0.25">
      <c r="A24" s="21">
        <v>23</v>
      </c>
      <c r="B24" s="315" t="s">
        <v>273</v>
      </c>
      <c r="C24" s="316">
        <v>3</v>
      </c>
      <c r="D24" s="317">
        <v>60.09</v>
      </c>
      <c r="E24" s="318"/>
      <c r="F24" s="318">
        <f t="shared" si="0"/>
        <v>2.0358492000000004</v>
      </c>
      <c r="G24" s="375">
        <v>35.340000000000003</v>
      </c>
    </row>
    <row r="25" spans="1:7" s="2" customFormat="1" x14ac:dyDescent="0.25">
      <c r="A25" s="21">
        <v>24</v>
      </c>
      <c r="B25" s="315" t="s">
        <v>274</v>
      </c>
      <c r="C25" s="316">
        <v>3</v>
      </c>
      <c r="D25" s="317">
        <v>73.16</v>
      </c>
      <c r="E25" s="318"/>
      <c r="F25" s="318">
        <f t="shared" si="0"/>
        <v>2.4786608000000001</v>
      </c>
      <c r="G25" s="375">
        <v>47.34</v>
      </c>
    </row>
    <row r="26" spans="1:7" s="2" customFormat="1" x14ac:dyDescent="0.25">
      <c r="A26" s="22">
        <v>25</v>
      </c>
      <c r="B26" s="315" t="s">
        <v>275</v>
      </c>
      <c r="C26" s="316">
        <v>2</v>
      </c>
      <c r="D26" s="317">
        <v>48.41</v>
      </c>
      <c r="E26" s="318"/>
      <c r="F26" s="318">
        <f t="shared" si="0"/>
        <v>1.6401307999999999</v>
      </c>
      <c r="G26" s="375">
        <v>31.59</v>
      </c>
    </row>
    <row r="27" spans="1:7" s="2" customFormat="1" x14ac:dyDescent="0.25">
      <c r="A27" s="21">
        <v>26</v>
      </c>
      <c r="B27" s="315" t="s">
        <v>276</v>
      </c>
      <c r="C27" s="316">
        <v>1</v>
      </c>
      <c r="D27" s="317">
        <v>32.1</v>
      </c>
      <c r="E27" s="318"/>
      <c r="F27" s="318">
        <f t="shared" si="0"/>
        <v>1.087548</v>
      </c>
      <c r="G27" s="375">
        <v>20.11</v>
      </c>
    </row>
    <row r="28" spans="1:7" s="2" customFormat="1" x14ac:dyDescent="0.25">
      <c r="A28" s="21">
        <v>27</v>
      </c>
      <c r="B28" s="315" t="s">
        <v>277</v>
      </c>
      <c r="C28" s="316">
        <v>3</v>
      </c>
      <c r="D28" s="317">
        <v>59.72</v>
      </c>
      <c r="E28" s="318"/>
      <c r="F28" s="318">
        <f t="shared" si="0"/>
        <v>2.0233136000000003</v>
      </c>
      <c r="G28" s="375">
        <v>37.93</v>
      </c>
    </row>
    <row r="29" spans="1:7" s="2" customFormat="1" x14ac:dyDescent="0.25">
      <c r="A29" s="22">
        <v>28</v>
      </c>
      <c r="B29" s="319" t="s">
        <v>278</v>
      </c>
      <c r="C29" s="316">
        <v>4</v>
      </c>
      <c r="D29" s="317">
        <v>73.959999999999994</v>
      </c>
      <c r="E29" s="318"/>
      <c r="F29" s="318">
        <f t="shared" si="0"/>
        <v>2.5057647999999997</v>
      </c>
      <c r="G29" s="375">
        <v>50.69</v>
      </c>
    </row>
    <row r="30" spans="1:7" s="2" customFormat="1" x14ac:dyDescent="0.25">
      <c r="A30" s="21">
        <v>29</v>
      </c>
      <c r="B30" s="315" t="s">
        <v>279</v>
      </c>
      <c r="C30" s="316">
        <v>2</v>
      </c>
      <c r="D30" s="317">
        <v>48.22</v>
      </c>
      <c r="E30" s="318"/>
      <c r="F30" s="318">
        <f t="shared" si="0"/>
        <v>1.6336936</v>
      </c>
      <c r="G30" s="375">
        <v>29.45</v>
      </c>
    </row>
    <row r="31" spans="1:7" s="2" customFormat="1" x14ac:dyDescent="0.25">
      <c r="A31" s="21">
        <v>30</v>
      </c>
      <c r="B31" s="315" t="s">
        <v>280</v>
      </c>
      <c r="C31" s="316">
        <v>1</v>
      </c>
      <c r="D31" s="317">
        <v>33.86</v>
      </c>
      <c r="E31" s="318"/>
      <c r="F31" s="318">
        <f t="shared" si="0"/>
        <v>1.1471768</v>
      </c>
      <c r="G31" s="375">
        <v>22.54</v>
      </c>
    </row>
    <row r="32" spans="1:7" s="2" customFormat="1" x14ac:dyDescent="0.25">
      <c r="A32" s="22">
        <v>31</v>
      </c>
      <c r="B32" s="315" t="s">
        <v>281</v>
      </c>
      <c r="C32" s="316">
        <v>3</v>
      </c>
      <c r="D32" s="317">
        <v>59.69</v>
      </c>
      <c r="E32" s="318"/>
      <c r="F32" s="318">
        <f t="shared" si="0"/>
        <v>2.0222971999999997</v>
      </c>
      <c r="G32" s="375">
        <v>36.46</v>
      </c>
    </row>
    <row r="33" spans="1:7" s="2" customFormat="1" x14ac:dyDescent="0.25">
      <c r="A33" s="21">
        <v>32</v>
      </c>
      <c r="B33" s="315" t="s">
        <v>282</v>
      </c>
      <c r="C33" s="316">
        <v>4</v>
      </c>
      <c r="D33" s="317">
        <v>73.099999999999994</v>
      </c>
      <c r="E33" s="318"/>
      <c r="F33" s="318">
        <f t="shared" si="0"/>
        <v>2.4766279999999994</v>
      </c>
      <c r="G33" s="377">
        <v>53.4</v>
      </c>
    </row>
    <row r="34" spans="1:7" s="2" customFormat="1" x14ac:dyDescent="0.25">
      <c r="A34" s="21">
        <v>33</v>
      </c>
      <c r="B34" s="315" t="s">
        <v>283</v>
      </c>
      <c r="C34" s="316">
        <v>2</v>
      </c>
      <c r="D34" s="317">
        <v>48.08</v>
      </c>
      <c r="E34" s="318"/>
      <c r="F34" s="318">
        <f t="shared" si="0"/>
        <v>1.6289503999999999</v>
      </c>
      <c r="G34" s="375">
        <v>33.08</v>
      </c>
    </row>
    <row r="35" spans="1:7" s="2" customFormat="1" x14ac:dyDescent="0.25">
      <c r="A35" s="22">
        <v>34</v>
      </c>
      <c r="B35" s="315" t="s">
        <v>284</v>
      </c>
      <c r="C35" s="316">
        <v>1</v>
      </c>
      <c r="D35" s="317">
        <v>33.78</v>
      </c>
      <c r="E35" s="318"/>
      <c r="F35" s="318">
        <f t="shared" si="0"/>
        <v>1.1444664</v>
      </c>
      <c r="G35" s="375">
        <v>22.49</v>
      </c>
    </row>
    <row r="36" spans="1:7" s="2" customFormat="1" x14ac:dyDescent="0.25">
      <c r="A36" s="21">
        <v>35</v>
      </c>
      <c r="B36" s="315" t="s">
        <v>285</v>
      </c>
      <c r="C36" s="316">
        <v>3</v>
      </c>
      <c r="D36" s="317">
        <v>59.86</v>
      </c>
      <c r="E36" s="318"/>
      <c r="F36" s="318">
        <f t="shared" si="0"/>
        <v>2.0280567999999999</v>
      </c>
      <c r="G36" s="375">
        <v>35.42</v>
      </c>
    </row>
    <row r="37" spans="1:7" s="2" customFormat="1" x14ac:dyDescent="0.25">
      <c r="A37" s="21">
        <v>36</v>
      </c>
      <c r="B37" s="319" t="s">
        <v>286</v>
      </c>
      <c r="C37" s="316">
        <v>4</v>
      </c>
      <c r="D37" s="317">
        <v>73.180000000000007</v>
      </c>
      <c r="E37" s="318"/>
      <c r="F37" s="318">
        <f t="shared" si="0"/>
        <v>2.4793384000000001</v>
      </c>
      <c r="G37" s="375">
        <v>50.26</v>
      </c>
    </row>
    <row r="38" spans="1:7" s="2" customFormat="1" x14ac:dyDescent="0.25">
      <c r="A38" s="22">
        <v>37</v>
      </c>
      <c r="B38" s="315" t="s">
        <v>287</v>
      </c>
      <c r="C38" s="316">
        <v>2</v>
      </c>
      <c r="D38" s="317">
        <v>47.9</v>
      </c>
      <c r="E38" s="318"/>
      <c r="F38" s="318">
        <f t="shared" si="0"/>
        <v>1.622852</v>
      </c>
      <c r="G38" s="375">
        <v>30.73</v>
      </c>
    </row>
    <row r="39" spans="1:7" s="2" customFormat="1" x14ac:dyDescent="0.25">
      <c r="A39" s="21">
        <v>38</v>
      </c>
      <c r="B39" s="210" t="s">
        <v>288</v>
      </c>
      <c r="C39" s="211">
        <v>3</v>
      </c>
      <c r="D39" s="212">
        <v>69.3</v>
      </c>
      <c r="E39" s="213">
        <f t="shared" ref="E39:E49" si="1">D39*0.051*1.21</f>
        <v>4.2765029999999991</v>
      </c>
      <c r="F39" s="213">
        <f t="shared" si="0"/>
        <v>2.3478839999999996</v>
      </c>
      <c r="G39" s="376"/>
    </row>
    <row r="40" spans="1:7" s="2" customFormat="1" x14ac:dyDescent="0.25">
      <c r="A40" s="21">
        <v>39</v>
      </c>
      <c r="B40" s="210" t="s">
        <v>289</v>
      </c>
      <c r="C40" s="211">
        <v>2</v>
      </c>
      <c r="D40" s="212">
        <v>35.49</v>
      </c>
      <c r="E40" s="213">
        <f t="shared" si="1"/>
        <v>2.1900879</v>
      </c>
      <c r="F40" s="213">
        <f t="shared" si="0"/>
        <v>1.2024011999999999</v>
      </c>
      <c r="G40" s="376"/>
    </row>
    <row r="41" spans="1:7" s="2" customFormat="1" x14ac:dyDescent="0.25">
      <c r="A41" s="22">
        <v>40</v>
      </c>
      <c r="B41" s="210" t="s">
        <v>480</v>
      </c>
      <c r="C41" s="211"/>
      <c r="D41" s="212"/>
      <c r="E41" s="213"/>
      <c r="F41" s="213"/>
      <c r="G41" s="376"/>
    </row>
    <row r="42" spans="1:7" s="2" customFormat="1" x14ac:dyDescent="0.25">
      <c r="A42" s="21">
        <v>41</v>
      </c>
      <c r="B42" s="210" t="s">
        <v>480</v>
      </c>
      <c r="C42" s="211"/>
      <c r="D42" s="212"/>
      <c r="E42" s="213"/>
      <c r="F42" s="213"/>
      <c r="G42" s="376"/>
    </row>
    <row r="43" spans="1:7" s="2" customFormat="1" x14ac:dyDescent="0.25">
      <c r="A43" s="21">
        <v>42</v>
      </c>
      <c r="B43" s="210" t="s">
        <v>480</v>
      </c>
      <c r="C43" s="211"/>
      <c r="D43" s="212"/>
      <c r="E43" s="213"/>
      <c r="F43" s="213"/>
      <c r="G43" s="376"/>
    </row>
    <row r="44" spans="1:7" s="2" customFormat="1" x14ac:dyDescent="0.25">
      <c r="A44" s="22">
        <v>43</v>
      </c>
      <c r="B44" s="210" t="s">
        <v>480</v>
      </c>
      <c r="C44" s="211"/>
      <c r="D44" s="212"/>
      <c r="E44" s="213"/>
      <c r="F44" s="213"/>
      <c r="G44" s="376"/>
    </row>
    <row r="45" spans="1:7" s="2" customFormat="1" x14ac:dyDescent="0.25">
      <c r="A45" s="21">
        <v>44</v>
      </c>
      <c r="B45" s="210" t="s">
        <v>480</v>
      </c>
      <c r="C45" s="211"/>
      <c r="D45" s="212"/>
      <c r="E45" s="213"/>
      <c r="F45" s="213"/>
      <c r="G45" s="376"/>
    </row>
    <row r="46" spans="1:7" s="2" customFormat="1" x14ac:dyDescent="0.25">
      <c r="A46" s="21">
        <v>45</v>
      </c>
      <c r="B46" s="210" t="s">
        <v>290</v>
      </c>
      <c r="C46" s="211">
        <v>2</v>
      </c>
      <c r="D46" s="212">
        <v>50.04</v>
      </c>
      <c r="E46" s="213">
        <f t="shared" si="1"/>
        <v>3.0879683999999998</v>
      </c>
      <c r="F46" s="213">
        <f t="shared" si="0"/>
        <v>1.6953551999999998</v>
      </c>
      <c r="G46" s="376"/>
    </row>
    <row r="47" spans="1:7" s="2" customFormat="1" x14ac:dyDescent="0.25">
      <c r="A47" s="22">
        <v>46</v>
      </c>
      <c r="B47" s="210" t="s">
        <v>291</v>
      </c>
      <c r="C47" s="211">
        <v>2</v>
      </c>
      <c r="D47" s="212">
        <v>49.25</v>
      </c>
      <c r="E47" s="213">
        <f t="shared" si="1"/>
        <v>3.0392174999999995</v>
      </c>
      <c r="F47" s="213">
        <f t="shared" si="0"/>
        <v>1.66859</v>
      </c>
      <c r="G47" s="376"/>
    </row>
    <row r="48" spans="1:7" s="2" customFormat="1" x14ac:dyDescent="0.25">
      <c r="A48" s="21">
        <v>47</v>
      </c>
      <c r="B48" s="210" t="s">
        <v>292</v>
      </c>
      <c r="C48" s="211">
        <v>1</v>
      </c>
      <c r="D48" s="212">
        <v>28.18</v>
      </c>
      <c r="E48" s="213">
        <f t="shared" si="1"/>
        <v>1.7389877999999999</v>
      </c>
      <c r="F48" s="213">
        <f t="shared" si="0"/>
        <v>0.95473839999999988</v>
      </c>
      <c r="G48" s="376"/>
    </row>
    <row r="49" spans="1:7" s="2" customFormat="1" x14ac:dyDescent="0.25">
      <c r="A49" s="21">
        <v>48</v>
      </c>
      <c r="B49" s="210" t="s">
        <v>293</v>
      </c>
      <c r="C49" s="211">
        <v>1</v>
      </c>
      <c r="D49" s="212">
        <v>28.06</v>
      </c>
      <c r="E49" s="213">
        <f t="shared" si="1"/>
        <v>1.7315825999999996</v>
      </c>
      <c r="F49" s="213">
        <f t="shared" si="0"/>
        <v>0.95067279999999987</v>
      </c>
      <c r="G49" s="376"/>
    </row>
    <row r="50" spans="1:7" s="2" customFormat="1" x14ac:dyDescent="0.25">
      <c r="A50" s="22">
        <v>49</v>
      </c>
      <c r="B50" s="315" t="s">
        <v>294</v>
      </c>
      <c r="C50" s="316">
        <v>2</v>
      </c>
      <c r="D50" s="317">
        <v>49.49</v>
      </c>
      <c r="E50" s="318"/>
      <c r="F50" s="318">
        <f t="shared" si="0"/>
        <v>1.6767212</v>
      </c>
      <c r="G50" s="375">
        <v>33.24</v>
      </c>
    </row>
    <row r="51" spans="1:7" s="2" customFormat="1" x14ac:dyDescent="0.25">
      <c r="A51" s="21">
        <v>50</v>
      </c>
      <c r="B51" s="315" t="s">
        <v>295</v>
      </c>
      <c r="C51" s="316">
        <v>2</v>
      </c>
      <c r="D51" s="317">
        <v>49.14</v>
      </c>
      <c r="E51" s="318"/>
      <c r="F51" s="318">
        <f t="shared" si="0"/>
        <v>1.6648632000000001</v>
      </c>
      <c r="G51" s="375">
        <v>33.14</v>
      </c>
    </row>
    <row r="52" spans="1:7" s="2" customFormat="1" x14ac:dyDescent="0.25">
      <c r="A52" s="21">
        <v>51</v>
      </c>
      <c r="B52" s="315" t="s">
        <v>296</v>
      </c>
      <c r="C52" s="316">
        <v>2</v>
      </c>
      <c r="D52" s="317">
        <v>50.04</v>
      </c>
      <c r="E52" s="318"/>
      <c r="F52" s="318">
        <f t="shared" si="0"/>
        <v>1.6953551999999998</v>
      </c>
      <c r="G52" s="375">
        <v>33.729999999999997</v>
      </c>
    </row>
    <row r="53" spans="1:7" s="2" customFormat="1" x14ac:dyDescent="0.25">
      <c r="A53" s="22">
        <v>52</v>
      </c>
      <c r="B53" s="315" t="s">
        <v>297</v>
      </c>
      <c r="C53" s="316">
        <v>3</v>
      </c>
      <c r="D53" s="317">
        <v>65.37</v>
      </c>
      <c r="E53" s="318"/>
      <c r="F53" s="318">
        <f t="shared" si="0"/>
        <v>2.2147356</v>
      </c>
      <c r="G53" s="375">
        <v>43.65</v>
      </c>
    </row>
    <row r="54" spans="1:7" s="2" customFormat="1" x14ac:dyDescent="0.25">
      <c r="A54" s="21">
        <v>53</v>
      </c>
      <c r="B54" s="315" t="s">
        <v>298</v>
      </c>
      <c r="C54" s="316">
        <v>2</v>
      </c>
      <c r="D54" s="317">
        <v>49.55</v>
      </c>
      <c r="E54" s="318"/>
      <c r="F54" s="318">
        <f t="shared" si="0"/>
        <v>1.6787539999999999</v>
      </c>
      <c r="G54" s="375">
        <v>24.43</v>
      </c>
    </row>
    <row r="55" spans="1:7" s="2" customFormat="1" x14ac:dyDescent="0.25">
      <c r="A55" s="21">
        <v>54</v>
      </c>
      <c r="B55" s="210" t="s">
        <v>299</v>
      </c>
      <c r="C55" s="211">
        <v>1</v>
      </c>
      <c r="D55" s="212">
        <v>36.14</v>
      </c>
      <c r="E55" s="213">
        <f t="shared" ref="E55:E65" si="2">D55*0.051*1.21</f>
        <v>2.2301994000000001</v>
      </c>
      <c r="F55" s="213">
        <f t="shared" si="0"/>
        <v>1.2244231999999999</v>
      </c>
      <c r="G55" s="376"/>
    </row>
    <row r="56" spans="1:7" x14ac:dyDescent="0.25">
      <c r="A56" s="22">
        <v>55</v>
      </c>
      <c r="B56" s="210" t="s">
        <v>300</v>
      </c>
      <c r="C56" s="211">
        <v>2</v>
      </c>
      <c r="D56" s="212">
        <v>50.39</v>
      </c>
      <c r="E56" s="213">
        <f t="shared" si="2"/>
        <v>3.1095668999999999</v>
      </c>
      <c r="F56" s="213">
        <f t="shared" si="0"/>
        <v>1.7072132</v>
      </c>
      <c r="G56" s="376"/>
    </row>
    <row r="57" spans="1:7" x14ac:dyDescent="0.25">
      <c r="A57" s="21">
        <v>56</v>
      </c>
      <c r="B57" s="214" t="s">
        <v>301</v>
      </c>
      <c r="C57" s="211">
        <v>2</v>
      </c>
      <c r="D57" s="212">
        <v>50.28</v>
      </c>
      <c r="E57" s="213">
        <f t="shared" si="2"/>
        <v>3.1027787999999998</v>
      </c>
      <c r="F57" s="213">
        <f t="shared" si="0"/>
        <v>1.7034863999999998</v>
      </c>
      <c r="G57" s="376"/>
    </row>
    <row r="58" spans="1:7" x14ac:dyDescent="0.25">
      <c r="A58" s="21">
        <v>57</v>
      </c>
      <c r="B58" s="210" t="s">
        <v>302</v>
      </c>
      <c r="C58" s="211">
        <v>1</v>
      </c>
      <c r="D58" s="212">
        <v>36.159999999999997</v>
      </c>
      <c r="E58" s="213">
        <f t="shared" si="2"/>
        <v>2.2314335999999999</v>
      </c>
      <c r="F58" s="213">
        <f t="shared" si="0"/>
        <v>1.2251007999999997</v>
      </c>
      <c r="G58" s="376"/>
    </row>
    <row r="59" spans="1:7" x14ac:dyDescent="0.25">
      <c r="A59" s="22">
        <v>58</v>
      </c>
      <c r="B59" s="315" t="s">
        <v>303</v>
      </c>
      <c r="C59" s="316">
        <v>1</v>
      </c>
      <c r="D59" s="317">
        <v>23.75</v>
      </c>
      <c r="E59" s="318"/>
      <c r="F59" s="318">
        <f t="shared" si="0"/>
        <v>0.80464999999999998</v>
      </c>
      <c r="G59" s="375">
        <v>13.53</v>
      </c>
    </row>
    <row r="60" spans="1:7" x14ac:dyDescent="0.25">
      <c r="A60" s="21">
        <v>59</v>
      </c>
      <c r="B60" s="315" t="s">
        <v>304</v>
      </c>
      <c r="C60" s="316">
        <v>1</v>
      </c>
      <c r="D60" s="317">
        <v>28.73</v>
      </c>
      <c r="E60" s="318"/>
      <c r="F60" s="318">
        <f t="shared" si="0"/>
        <v>0.97337240000000003</v>
      </c>
      <c r="G60" s="377">
        <v>18.8</v>
      </c>
    </row>
    <row r="61" spans="1:7" s="2" customFormat="1" x14ac:dyDescent="0.25">
      <c r="A61" s="21">
        <v>60</v>
      </c>
      <c r="B61" s="210" t="s">
        <v>502</v>
      </c>
      <c r="C61" s="211">
        <v>2</v>
      </c>
      <c r="D61" s="212">
        <v>47.29</v>
      </c>
      <c r="E61" s="318"/>
      <c r="F61" s="318"/>
      <c r="G61" s="377"/>
    </row>
    <row r="62" spans="1:7" s="2" customFormat="1" x14ac:dyDescent="0.25">
      <c r="A62" s="21">
        <v>61</v>
      </c>
      <c r="B62" s="210" t="s">
        <v>503</v>
      </c>
      <c r="C62" s="211">
        <v>2</v>
      </c>
      <c r="D62" s="212">
        <v>43.98</v>
      </c>
      <c r="E62" s="318"/>
      <c r="F62" s="318"/>
      <c r="G62" s="377"/>
    </row>
    <row r="63" spans="1:7" s="2" customFormat="1" x14ac:dyDescent="0.25">
      <c r="A63" s="21">
        <v>62</v>
      </c>
      <c r="B63" s="210" t="s">
        <v>504</v>
      </c>
      <c r="C63" s="211">
        <v>2</v>
      </c>
      <c r="D63" s="212">
        <v>43.98</v>
      </c>
      <c r="E63" s="318"/>
      <c r="F63" s="318"/>
      <c r="G63" s="377"/>
    </row>
    <row r="64" spans="1:7" x14ac:dyDescent="0.25">
      <c r="A64" s="21">
        <v>63</v>
      </c>
      <c r="B64" s="215" t="s">
        <v>305</v>
      </c>
      <c r="C64" s="211">
        <v>2</v>
      </c>
      <c r="D64" s="212">
        <v>50.43</v>
      </c>
      <c r="E64" s="213">
        <f t="shared" si="2"/>
        <v>3.1120352999999996</v>
      </c>
      <c r="F64" s="213">
        <f t="shared" si="0"/>
        <v>1.7085683999999999</v>
      </c>
      <c r="G64" s="376"/>
    </row>
    <row r="65" spans="1:7" x14ac:dyDescent="0.25">
      <c r="A65" s="22">
        <v>64</v>
      </c>
      <c r="B65" s="215" t="s">
        <v>306</v>
      </c>
      <c r="C65" s="211">
        <v>1</v>
      </c>
      <c r="D65" s="212">
        <v>36.29</v>
      </c>
      <c r="E65" s="213">
        <f t="shared" si="2"/>
        <v>2.2394558999999998</v>
      </c>
      <c r="F65" s="213">
        <f t="shared" si="0"/>
        <v>1.2295052</v>
      </c>
      <c r="G65" s="376"/>
    </row>
    <row r="66" spans="1:7" s="2" customFormat="1" x14ac:dyDescent="0.25">
      <c r="A66" s="21">
        <v>65</v>
      </c>
      <c r="B66" s="210" t="s">
        <v>505</v>
      </c>
      <c r="C66" s="211">
        <v>2</v>
      </c>
      <c r="D66" s="212">
        <v>43.98</v>
      </c>
      <c r="E66" s="213"/>
      <c r="F66" s="213"/>
      <c r="G66" s="376"/>
    </row>
    <row r="67" spans="1:7" s="2" customFormat="1" x14ac:dyDescent="0.25">
      <c r="A67" s="21">
        <v>66</v>
      </c>
      <c r="B67" s="210" t="s">
        <v>506</v>
      </c>
      <c r="C67" s="211">
        <v>2</v>
      </c>
      <c r="D67" s="212">
        <v>43.98</v>
      </c>
      <c r="E67" s="213"/>
      <c r="F67" s="213"/>
      <c r="G67" s="376"/>
    </row>
    <row r="68" spans="1:7" x14ac:dyDescent="0.25">
      <c r="A68" s="21">
        <v>67</v>
      </c>
      <c r="B68" s="320" t="s">
        <v>307</v>
      </c>
      <c r="C68" s="316">
        <v>1</v>
      </c>
      <c r="D68" s="317">
        <v>28.06</v>
      </c>
      <c r="E68" s="318"/>
      <c r="F68" s="318">
        <f t="shared" si="0"/>
        <v>0.95067279999999987</v>
      </c>
      <c r="G68" s="375">
        <v>20.39</v>
      </c>
    </row>
    <row r="69" spans="1:7" x14ac:dyDescent="0.25">
      <c r="A69" s="21">
        <v>68</v>
      </c>
      <c r="B69" s="320" t="s">
        <v>308</v>
      </c>
      <c r="C69" s="316">
        <v>2</v>
      </c>
      <c r="D69" s="317">
        <v>36.79</v>
      </c>
      <c r="E69" s="318"/>
      <c r="F69" s="318">
        <f t="shared" si="0"/>
        <v>1.2464451999999999</v>
      </c>
      <c r="G69" s="375">
        <v>19.34</v>
      </c>
    </row>
    <row r="70" spans="1:7" x14ac:dyDescent="0.25">
      <c r="A70" s="22">
        <v>69</v>
      </c>
      <c r="B70" s="315" t="s">
        <v>309</v>
      </c>
      <c r="C70" s="316">
        <v>1</v>
      </c>
      <c r="D70" s="317">
        <v>28.04</v>
      </c>
      <c r="E70" s="318"/>
      <c r="F70" s="318">
        <f t="shared" si="0"/>
        <v>0.94999520000000004</v>
      </c>
      <c r="G70" s="375">
        <v>15.76</v>
      </c>
    </row>
    <row r="71" spans="1:7" x14ac:dyDescent="0.25">
      <c r="A71" s="21">
        <v>70</v>
      </c>
      <c r="B71" s="315" t="s">
        <v>310</v>
      </c>
      <c r="C71" s="316">
        <v>2</v>
      </c>
      <c r="D71" s="317">
        <v>37.450000000000003</v>
      </c>
      <c r="E71" s="318"/>
      <c r="F71" s="318">
        <f t="shared" si="0"/>
        <v>1.2688060000000001</v>
      </c>
      <c r="G71" s="375">
        <v>15.49</v>
      </c>
    </row>
    <row r="72" spans="1:7" x14ac:dyDescent="0.25">
      <c r="A72" s="21">
        <v>71</v>
      </c>
      <c r="B72" s="315" t="s">
        <v>311</v>
      </c>
      <c r="C72" s="316">
        <v>2</v>
      </c>
      <c r="D72" s="317">
        <v>37.08</v>
      </c>
      <c r="E72" s="318"/>
      <c r="F72" s="318">
        <f t="shared" si="0"/>
        <v>1.2562704</v>
      </c>
      <c r="G72" s="375">
        <v>15.34</v>
      </c>
    </row>
    <row r="73" spans="1:7" x14ac:dyDescent="0.25">
      <c r="A73" s="22">
        <v>72</v>
      </c>
      <c r="B73" s="315" t="s">
        <v>312</v>
      </c>
      <c r="C73" s="316">
        <v>2</v>
      </c>
      <c r="D73" s="317">
        <v>36.97</v>
      </c>
      <c r="E73" s="318"/>
      <c r="F73" s="318">
        <f t="shared" si="0"/>
        <v>1.2525436000000001</v>
      </c>
      <c r="G73" s="375">
        <v>16.45</v>
      </c>
    </row>
    <row r="74" spans="1:7" s="2" customFormat="1" x14ac:dyDescent="0.25">
      <c r="A74" s="21">
        <v>73</v>
      </c>
      <c r="B74" s="215" t="s">
        <v>313</v>
      </c>
      <c r="C74" s="211">
        <v>1</v>
      </c>
      <c r="D74" s="212">
        <v>30.09</v>
      </c>
      <c r="E74" s="213">
        <f t="shared" ref="E74:E85" si="3">D74*0.051*1.21</f>
        <v>1.8568538999999997</v>
      </c>
      <c r="F74" s="213">
        <f t="shared" si="0"/>
        <v>1.0194491999999999</v>
      </c>
      <c r="G74" s="376"/>
    </row>
    <row r="75" spans="1:7" s="2" customFormat="1" x14ac:dyDescent="0.25">
      <c r="A75" s="21">
        <v>74</v>
      </c>
      <c r="B75" s="215" t="s">
        <v>314</v>
      </c>
      <c r="C75" s="211">
        <v>1</v>
      </c>
      <c r="D75" s="212">
        <v>30.09</v>
      </c>
      <c r="E75" s="213">
        <f t="shared" si="3"/>
        <v>1.8568538999999997</v>
      </c>
      <c r="F75" s="213">
        <f t="shared" si="0"/>
        <v>1.0194491999999999</v>
      </c>
      <c r="G75" s="376"/>
    </row>
    <row r="76" spans="1:7" s="2" customFormat="1" x14ac:dyDescent="0.25">
      <c r="A76" s="22">
        <v>75</v>
      </c>
      <c r="B76" s="215" t="s">
        <v>315</v>
      </c>
      <c r="C76" s="211">
        <v>2</v>
      </c>
      <c r="D76" s="212">
        <v>43.98</v>
      </c>
      <c r="E76" s="213">
        <f t="shared" si="3"/>
        <v>2.7140057999999998</v>
      </c>
      <c r="F76" s="213">
        <f t="shared" si="0"/>
        <v>1.4900423999999999</v>
      </c>
      <c r="G76" s="376"/>
    </row>
    <row r="77" spans="1:7" s="2" customFormat="1" x14ac:dyDescent="0.25">
      <c r="A77" s="21">
        <v>76</v>
      </c>
      <c r="B77" s="215" t="s">
        <v>316</v>
      </c>
      <c r="C77" s="211">
        <v>2</v>
      </c>
      <c r="D77" s="212">
        <v>43.98</v>
      </c>
      <c r="E77" s="213">
        <f t="shared" si="3"/>
        <v>2.7140057999999998</v>
      </c>
      <c r="F77" s="213">
        <f t="shared" si="0"/>
        <v>1.4900423999999999</v>
      </c>
      <c r="G77" s="376"/>
    </row>
    <row r="78" spans="1:7" s="2" customFormat="1" x14ac:dyDescent="0.25">
      <c r="A78" s="21">
        <v>77</v>
      </c>
      <c r="B78" s="210" t="s">
        <v>317</v>
      </c>
      <c r="C78" s="211">
        <v>1</v>
      </c>
      <c r="D78" s="212">
        <v>30.09</v>
      </c>
      <c r="E78" s="213">
        <f t="shared" si="3"/>
        <v>1.8568538999999997</v>
      </c>
      <c r="F78" s="213">
        <f t="shared" ref="F78:F135" si="4">D78*0.028*1.21</f>
        <v>1.0194491999999999</v>
      </c>
      <c r="G78" s="376"/>
    </row>
    <row r="79" spans="1:7" x14ac:dyDescent="0.25">
      <c r="A79" s="22">
        <v>78</v>
      </c>
      <c r="B79" s="210" t="s">
        <v>318</v>
      </c>
      <c r="C79" s="211">
        <v>2</v>
      </c>
      <c r="D79" s="212">
        <v>43.98</v>
      </c>
      <c r="E79" s="213">
        <f t="shared" si="3"/>
        <v>2.7140057999999998</v>
      </c>
      <c r="F79" s="213">
        <f t="shared" si="4"/>
        <v>1.4900423999999999</v>
      </c>
      <c r="G79" s="376"/>
    </row>
    <row r="80" spans="1:7" s="2" customFormat="1" x14ac:dyDescent="0.25">
      <c r="A80" s="21">
        <v>79</v>
      </c>
      <c r="B80" s="210" t="s">
        <v>319</v>
      </c>
      <c r="C80" s="211">
        <v>2</v>
      </c>
      <c r="D80" s="212">
        <v>43.98</v>
      </c>
      <c r="E80" s="213">
        <f t="shared" si="3"/>
        <v>2.7140057999999998</v>
      </c>
      <c r="F80" s="213">
        <f t="shared" si="4"/>
        <v>1.4900423999999999</v>
      </c>
      <c r="G80" s="376"/>
    </row>
    <row r="81" spans="1:7" s="2" customFormat="1" x14ac:dyDescent="0.25">
      <c r="A81" s="21">
        <v>80</v>
      </c>
      <c r="B81" s="215" t="s">
        <v>320</v>
      </c>
      <c r="C81" s="211">
        <v>3</v>
      </c>
      <c r="D81" s="212">
        <v>60.87</v>
      </c>
      <c r="E81" s="213">
        <f t="shared" si="3"/>
        <v>3.7562876999999997</v>
      </c>
      <c r="F81" s="213">
        <f t="shared" si="4"/>
        <v>2.0622756</v>
      </c>
      <c r="G81" s="376"/>
    </row>
    <row r="82" spans="1:7" s="2" customFormat="1" x14ac:dyDescent="0.25">
      <c r="A82" s="21">
        <v>81</v>
      </c>
      <c r="B82" s="210" t="s">
        <v>507</v>
      </c>
      <c r="C82" s="211">
        <v>2</v>
      </c>
      <c r="D82" s="212">
        <v>43.98</v>
      </c>
      <c r="E82" s="213"/>
      <c r="F82" s="213"/>
      <c r="G82" s="376"/>
    </row>
    <row r="83" spans="1:7" s="2" customFormat="1" x14ac:dyDescent="0.25">
      <c r="A83" s="21">
        <v>82</v>
      </c>
      <c r="B83" s="210" t="s">
        <v>511</v>
      </c>
      <c r="C83" s="211">
        <v>2</v>
      </c>
      <c r="D83" s="212">
        <v>43.98</v>
      </c>
      <c r="E83" s="213"/>
      <c r="F83" s="213"/>
      <c r="G83" s="376"/>
    </row>
    <row r="84" spans="1:7" s="2" customFormat="1" x14ac:dyDescent="0.25">
      <c r="A84" s="22">
        <v>83</v>
      </c>
      <c r="B84" s="215" t="s">
        <v>321</v>
      </c>
      <c r="C84" s="211">
        <v>2</v>
      </c>
      <c r="D84" s="212">
        <v>47.29</v>
      </c>
      <c r="E84" s="213">
        <f t="shared" si="3"/>
        <v>2.9182658999999997</v>
      </c>
      <c r="F84" s="213">
        <f t="shared" si="4"/>
        <v>1.6021851999999999</v>
      </c>
      <c r="G84" s="376"/>
    </row>
    <row r="85" spans="1:7" x14ac:dyDescent="0.25">
      <c r="A85" s="21">
        <v>84</v>
      </c>
      <c r="B85" s="215" t="s">
        <v>322</v>
      </c>
      <c r="C85" s="211">
        <v>2</v>
      </c>
      <c r="D85" s="212">
        <v>47.29</v>
      </c>
      <c r="E85" s="213">
        <f t="shared" si="3"/>
        <v>2.9182658999999997</v>
      </c>
      <c r="F85" s="213">
        <f t="shared" si="4"/>
        <v>1.6021851999999999</v>
      </c>
      <c r="G85" s="376"/>
    </row>
    <row r="86" spans="1:7" s="2" customFormat="1" x14ac:dyDescent="0.25">
      <c r="A86" s="21">
        <v>85</v>
      </c>
      <c r="B86" s="210" t="s">
        <v>508</v>
      </c>
      <c r="C86" s="211">
        <v>1</v>
      </c>
      <c r="D86" s="212">
        <v>30.09</v>
      </c>
      <c r="E86" s="213"/>
      <c r="F86" s="213"/>
      <c r="G86" s="376"/>
    </row>
    <row r="87" spans="1:7" s="2" customFormat="1" x14ac:dyDescent="0.25">
      <c r="A87" s="21">
        <v>86</v>
      </c>
      <c r="B87" s="210" t="s">
        <v>509</v>
      </c>
      <c r="C87" s="211">
        <v>2</v>
      </c>
      <c r="D87" s="212">
        <v>43.94</v>
      </c>
      <c r="E87" s="213"/>
      <c r="F87" s="213"/>
      <c r="G87" s="376"/>
    </row>
    <row r="88" spans="1:7" s="2" customFormat="1" x14ac:dyDescent="0.25">
      <c r="A88" s="21">
        <v>87</v>
      </c>
      <c r="B88" s="210" t="s">
        <v>510</v>
      </c>
      <c r="C88" s="211">
        <v>2</v>
      </c>
      <c r="D88" s="212">
        <v>43.86</v>
      </c>
      <c r="E88" s="213"/>
      <c r="F88" s="213"/>
      <c r="G88" s="376"/>
    </row>
    <row r="89" spans="1:7" x14ac:dyDescent="0.25">
      <c r="A89" s="21">
        <v>88</v>
      </c>
      <c r="B89" s="315" t="s">
        <v>323</v>
      </c>
      <c r="C89" s="316">
        <v>2</v>
      </c>
      <c r="D89" s="317">
        <v>43.98</v>
      </c>
      <c r="E89" s="318"/>
      <c r="F89" s="318">
        <f t="shared" si="4"/>
        <v>1.4900423999999999</v>
      </c>
      <c r="G89" s="375">
        <v>24.69</v>
      </c>
    </row>
    <row r="90" spans="1:7" s="2" customFormat="1" x14ac:dyDescent="0.25">
      <c r="A90" s="22">
        <v>89</v>
      </c>
      <c r="B90" s="315" t="s">
        <v>324</v>
      </c>
      <c r="C90" s="316">
        <v>2</v>
      </c>
      <c r="D90" s="317">
        <v>43.94</v>
      </c>
      <c r="E90" s="318"/>
      <c r="F90" s="318">
        <f t="shared" si="4"/>
        <v>1.4886871999999998</v>
      </c>
      <c r="G90" s="375">
        <v>20.149999999999999</v>
      </c>
    </row>
    <row r="91" spans="1:7" s="2" customFormat="1" x14ac:dyDescent="0.25">
      <c r="A91" s="21">
        <v>90</v>
      </c>
      <c r="B91" s="315" t="s">
        <v>325</v>
      </c>
      <c r="C91" s="316">
        <v>2</v>
      </c>
      <c r="D91" s="317">
        <v>43.86</v>
      </c>
      <c r="E91" s="318"/>
      <c r="F91" s="318">
        <f t="shared" si="4"/>
        <v>1.4859768</v>
      </c>
      <c r="G91" s="375">
        <v>21.82</v>
      </c>
    </row>
    <row r="92" spans="1:7" s="2" customFormat="1" x14ac:dyDescent="0.25">
      <c r="A92" s="21">
        <v>91</v>
      </c>
      <c r="B92" s="315" t="s">
        <v>326</v>
      </c>
      <c r="C92" s="316">
        <v>2</v>
      </c>
      <c r="D92" s="317">
        <v>43.98</v>
      </c>
      <c r="E92" s="318"/>
      <c r="F92" s="318">
        <f t="shared" si="4"/>
        <v>1.4900423999999999</v>
      </c>
      <c r="G92" s="375">
        <v>20.56</v>
      </c>
    </row>
    <row r="93" spans="1:7" x14ac:dyDescent="0.25">
      <c r="A93" s="22">
        <v>92</v>
      </c>
      <c r="B93" s="210" t="s">
        <v>327</v>
      </c>
      <c r="C93" s="211">
        <v>1</v>
      </c>
      <c r="D93" s="212">
        <v>30.09</v>
      </c>
      <c r="E93" s="213">
        <f t="shared" ref="E93:E145" si="5">D93*0.051*1.21</f>
        <v>1.8568538999999997</v>
      </c>
      <c r="F93" s="213">
        <f t="shared" si="4"/>
        <v>1.0194491999999999</v>
      </c>
      <c r="G93" s="376"/>
    </row>
    <row r="94" spans="1:7" s="2" customFormat="1" x14ac:dyDescent="0.25">
      <c r="A94" s="21">
        <v>93</v>
      </c>
      <c r="B94" s="210" t="s">
        <v>328</v>
      </c>
      <c r="C94" s="211">
        <v>1</v>
      </c>
      <c r="D94" s="212">
        <v>30.09</v>
      </c>
      <c r="E94" s="213">
        <f t="shared" si="5"/>
        <v>1.8568538999999997</v>
      </c>
      <c r="F94" s="213">
        <f t="shared" si="4"/>
        <v>1.0194491999999999</v>
      </c>
      <c r="G94" s="376"/>
    </row>
    <row r="95" spans="1:7" s="2" customFormat="1" x14ac:dyDescent="0.25">
      <c r="A95" s="21">
        <v>94</v>
      </c>
      <c r="B95" s="210" t="s">
        <v>329</v>
      </c>
      <c r="C95" s="211">
        <v>1</v>
      </c>
      <c r="D95" s="212">
        <v>30.09</v>
      </c>
      <c r="E95" s="213">
        <f t="shared" si="5"/>
        <v>1.8568538999999997</v>
      </c>
      <c r="F95" s="213">
        <f t="shared" si="4"/>
        <v>1.0194491999999999</v>
      </c>
      <c r="G95" s="376"/>
    </row>
    <row r="96" spans="1:7" s="2" customFormat="1" x14ac:dyDescent="0.25">
      <c r="A96" s="22">
        <v>95</v>
      </c>
      <c r="B96" s="215" t="s">
        <v>330</v>
      </c>
      <c r="C96" s="211">
        <v>2</v>
      </c>
      <c r="D96" s="212">
        <v>49.63</v>
      </c>
      <c r="E96" s="213">
        <f t="shared" si="5"/>
        <v>3.0626673000000002</v>
      </c>
      <c r="F96" s="213">
        <f t="shared" si="4"/>
        <v>1.6814644000000003</v>
      </c>
      <c r="G96" s="376"/>
    </row>
    <row r="97" spans="1:7" s="2" customFormat="1" x14ac:dyDescent="0.25">
      <c r="A97" s="21">
        <v>96</v>
      </c>
      <c r="B97" s="315" t="s">
        <v>331</v>
      </c>
      <c r="C97" s="316">
        <v>3</v>
      </c>
      <c r="D97" s="322">
        <v>58.89</v>
      </c>
      <c r="E97" s="318"/>
      <c r="F97" s="318">
        <f t="shared" si="4"/>
        <v>1.9951931999999999</v>
      </c>
      <c r="G97" s="375">
        <v>35.32</v>
      </c>
    </row>
    <row r="98" spans="1:7" s="2" customFormat="1" x14ac:dyDescent="0.25">
      <c r="A98" s="21">
        <v>97</v>
      </c>
      <c r="B98" s="320" t="s">
        <v>332</v>
      </c>
      <c r="C98" s="316">
        <v>1</v>
      </c>
      <c r="D98" s="317">
        <v>27.63</v>
      </c>
      <c r="E98" s="318"/>
      <c r="F98" s="318">
        <f t="shared" si="4"/>
        <v>0.93610439999999995</v>
      </c>
      <c r="G98" s="375">
        <v>15.98</v>
      </c>
    </row>
    <row r="99" spans="1:7" s="2" customFormat="1" x14ac:dyDescent="0.25">
      <c r="A99" s="22">
        <v>98</v>
      </c>
      <c r="B99" s="320" t="s">
        <v>333</v>
      </c>
      <c r="C99" s="316">
        <v>1</v>
      </c>
      <c r="D99" s="317">
        <v>27.71</v>
      </c>
      <c r="E99" s="318"/>
      <c r="F99" s="318">
        <f t="shared" si="4"/>
        <v>0.93881479999999995</v>
      </c>
      <c r="G99" s="375">
        <v>17.13</v>
      </c>
    </row>
    <row r="100" spans="1:7" x14ac:dyDescent="0.25">
      <c r="A100" s="21">
        <v>99</v>
      </c>
      <c r="B100" s="210" t="s">
        <v>334</v>
      </c>
      <c r="C100" s="211">
        <v>2</v>
      </c>
      <c r="D100" s="212">
        <v>50.36</v>
      </c>
      <c r="E100" s="213">
        <f t="shared" si="5"/>
        <v>3.1077155999999997</v>
      </c>
      <c r="F100" s="213">
        <f t="shared" si="4"/>
        <v>1.7061967999999998</v>
      </c>
      <c r="G100" s="376"/>
    </row>
    <row r="101" spans="1:7" s="2" customFormat="1" x14ac:dyDescent="0.25">
      <c r="A101" s="21">
        <v>100</v>
      </c>
      <c r="B101" s="210" t="s">
        <v>477</v>
      </c>
      <c r="C101" s="211"/>
      <c r="D101" s="212"/>
      <c r="E101" s="213"/>
      <c r="F101" s="213"/>
      <c r="G101" s="376"/>
    </row>
    <row r="102" spans="1:7" s="2" customFormat="1" x14ac:dyDescent="0.25">
      <c r="A102" s="22">
        <v>101</v>
      </c>
      <c r="B102" s="210" t="s">
        <v>477</v>
      </c>
      <c r="C102" s="211"/>
      <c r="D102" s="212"/>
      <c r="E102" s="213"/>
      <c r="F102" s="213"/>
      <c r="G102" s="376"/>
    </row>
    <row r="103" spans="1:7" s="2" customFormat="1" x14ac:dyDescent="0.25">
      <c r="A103" s="21">
        <v>102</v>
      </c>
      <c r="B103" s="210" t="s">
        <v>477</v>
      </c>
      <c r="C103" s="211"/>
      <c r="D103" s="212"/>
      <c r="E103" s="213"/>
      <c r="F103" s="213"/>
      <c r="G103" s="376"/>
    </row>
    <row r="104" spans="1:7" x14ac:dyDescent="0.25">
      <c r="A104" s="21">
        <v>103</v>
      </c>
      <c r="B104" s="315" t="s">
        <v>335</v>
      </c>
      <c r="C104" s="316">
        <v>3</v>
      </c>
      <c r="D104" s="317">
        <v>64.89</v>
      </c>
      <c r="E104" s="318"/>
      <c r="F104" s="318">
        <f t="shared" si="4"/>
        <v>2.1984732</v>
      </c>
      <c r="G104" s="375">
        <v>37.92</v>
      </c>
    </row>
    <row r="105" spans="1:7" s="2" customFormat="1" x14ac:dyDescent="0.25">
      <c r="A105" s="22">
        <v>104</v>
      </c>
      <c r="B105" s="210" t="s">
        <v>481</v>
      </c>
      <c r="C105" s="211"/>
      <c r="D105" s="212"/>
      <c r="E105" s="213"/>
      <c r="F105" s="213"/>
      <c r="G105" s="376"/>
    </row>
    <row r="106" spans="1:7" s="2" customFormat="1" x14ac:dyDescent="0.25">
      <c r="A106" s="21">
        <v>105</v>
      </c>
      <c r="B106" s="210" t="s">
        <v>481</v>
      </c>
      <c r="C106" s="211"/>
      <c r="D106" s="212"/>
      <c r="E106" s="213"/>
      <c r="F106" s="213"/>
      <c r="G106" s="376"/>
    </row>
    <row r="107" spans="1:7" x14ac:dyDescent="0.25">
      <c r="A107" s="21">
        <v>106</v>
      </c>
      <c r="B107" s="315" t="s">
        <v>336</v>
      </c>
      <c r="C107" s="316">
        <v>3</v>
      </c>
      <c r="D107" s="317">
        <v>60.87</v>
      </c>
      <c r="E107" s="318"/>
      <c r="F107" s="318">
        <f t="shared" si="4"/>
        <v>2.0622756</v>
      </c>
      <c r="G107" s="375">
        <v>38.17</v>
      </c>
    </row>
    <row r="108" spans="1:7" x14ac:dyDescent="0.25">
      <c r="A108" s="22">
        <v>107</v>
      </c>
      <c r="B108" s="315" t="s">
        <v>337</v>
      </c>
      <c r="C108" s="316">
        <v>2</v>
      </c>
      <c r="D108" s="317">
        <v>43.94</v>
      </c>
      <c r="E108" s="318"/>
      <c r="F108" s="318">
        <f t="shared" si="4"/>
        <v>1.4886871999999998</v>
      </c>
      <c r="G108" s="375">
        <v>22.35</v>
      </c>
    </row>
    <row r="109" spans="1:7" x14ac:dyDescent="0.25">
      <c r="A109" s="21">
        <v>108</v>
      </c>
      <c r="B109" s="315" t="s">
        <v>338</v>
      </c>
      <c r="C109" s="316">
        <v>2</v>
      </c>
      <c r="D109" s="317">
        <v>43.86</v>
      </c>
      <c r="E109" s="318"/>
      <c r="F109" s="318">
        <f t="shared" si="4"/>
        <v>1.4859768</v>
      </c>
      <c r="G109" s="375">
        <v>27.14</v>
      </c>
    </row>
    <row r="110" spans="1:7" x14ac:dyDescent="0.25">
      <c r="A110" s="21">
        <v>109</v>
      </c>
      <c r="B110" s="315" t="s">
        <v>339</v>
      </c>
      <c r="C110" s="316">
        <v>2</v>
      </c>
      <c r="D110" s="317">
        <v>44.62</v>
      </c>
      <c r="E110" s="318"/>
      <c r="F110" s="318">
        <f t="shared" si="4"/>
        <v>1.5117255999999999</v>
      </c>
      <c r="G110" s="375">
        <v>20.69</v>
      </c>
    </row>
    <row r="111" spans="1:7" x14ac:dyDescent="0.25">
      <c r="A111" s="22">
        <v>110</v>
      </c>
      <c r="B111" s="315" t="s">
        <v>340</v>
      </c>
      <c r="C111" s="316">
        <v>2</v>
      </c>
      <c r="D111" s="317">
        <v>44.62</v>
      </c>
      <c r="E111" s="318"/>
      <c r="F111" s="318">
        <f t="shared" si="4"/>
        <v>1.5117255999999999</v>
      </c>
      <c r="G111" s="377">
        <v>25</v>
      </c>
    </row>
    <row r="112" spans="1:7" s="2" customFormat="1" x14ac:dyDescent="0.25">
      <c r="A112" s="21">
        <v>111</v>
      </c>
      <c r="B112" s="215" t="s">
        <v>341</v>
      </c>
      <c r="C112" s="211">
        <v>2</v>
      </c>
      <c r="D112" s="212">
        <v>46.3</v>
      </c>
      <c r="E112" s="213">
        <f t="shared" si="5"/>
        <v>2.8571729999999995</v>
      </c>
      <c r="F112" s="213">
        <f t="shared" si="4"/>
        <v>1.5686439999999999</v>
      </c>
      <c r="G112" s="376"/>
    </row>
    <row r="113" spans="1:7" s="2" customFormat="1" x14ac:dyDescent="0.25">
      <c r="A113" s="21">
        <v>112</v>
      </c>
      <c r="B113" s="216" t="s">
        <v>342</v>
      </c>
      <c r="C113" s="211">
        <v>3</v>
      </c>
      <c r="D113" s="212">
        <v>57.69</v>
      </c>
      <c r="E113" s="213">
        <f t="shared" si="5"/>
        <v>3.5600498999999997</v>
      </c>
      <c r="F113" s="213">
        <f t="shared" si="4"/>
        <v>1.9545371999999999</v>
      </c>
      <c r="G113" s="376"/>
    </row>
    <row r="114" spans="1:7" s="2" customFormat="1" x14ac:dyDescent="0.25">
      <c r="A114" s="22">
        <v>113</v>
      </c>
      <c r="B114" s="217" t="s">
        <v>366</v>
      </c>
      <c r="C114" s="218">
        <v>3</v>
      </c>
      <c r="D114" s="219">
        <v>79.3</v>
      </c>
      <c r="E114" s="213">
        <f t="shared" si="5"/>
        <v>4.8936029999999997</v>
      </c>
      <c r="F114" s="213">
        <f t="shared" si="4"/>
        <v>2.6866840000000001</v>
      </c>
      <c r="G114" s="376"/>
    </row>
    <row r="115" spans="1:7" s="2" customFormat="1" x14ac:dyDescent="0.25">
      <c r="A115" s="21">
        <v>114</v>
      </c>
      <c r="B115" s="217" t="s">
        <v>367</v>
      </c>
      <c r="C115" s="218">
        <v>2</v>
      </c>
      <c r="D115" s="219">
        <v>37.67</v>
      </c>
      <c r="E115" s="213">
        <f t="shared" si="5"/>
        <v>2.3246156999999998</v>
      </c>
      <c r="F115" s="213">
        <f t="shared" si="4"/>
        <v>1.2762596000000002</v>
      </c>
      <c r="G115" s="376"/>
    </row>
    <row r="116" spans="1:7" s="2" customFormat="1" x14ac:dyDescent="0.25">
      <c r="A116" s="21">
        <v>115</v>
      </c>
      <c r="B116" s="217" t="s">
        <v>368</v>
      </c>
      <c r="C116" s="218">
        <v>2</v>
      </c>
      <c r="D116" s="219">
        <v>62.19</v>
      </c>
      <c r="E116" s="213">
        <f t="shared" si="5"/>
        <v>3.8377448999999997</v>
      </c>
      <c r="F116" s="213">
        <f t="shared" si="4"/>
        <v>2.1069971999999999</v>
      </c>
      <c r="G116" s="376"/>
    </row>
    <row r="117" spans="1:7" s="2" customFormat="1" x14ac:dyDescent="0.25">
      <c r="A117" s="22">
        <v>116</v>
      </c>
      <c r="B117" s="217" t="s">
        <v>369</v>
      </c>
      <c r="C117" s="218">
        <v>1</v>
      </c>
      <c r="D117" s="219">
        <v>21.99</v>
      </c>
      <c r="E117" s="213">
        <f t="shared" si="5"/>
        <v>1.3570028999999999</v>
      </c>
      <c r="F117" s="213">
        <f t="shared" si="4"/>
        <v>0.74502119999999994</v>
      </c>
      <c r="G117" s="376"/>
    </row>
    <row r="118" spans="1:7" s="2" customFormat="1" x14ac:dyDescent="0.25">
      <c r="A118" s="21">
        <v>117</v>
      </c>
      <c r="B118" s="217" t="s">
        <v>370</v>
      </c>
      <c r="C118" s="218">
        <v>3</v>
      </c>
      <c r="D118" s="219">
        <v>79.3</v>
      </c>
      <c r="E118" s="213">
        <f t="shared" si="5"/>
        <v>4.8936029999999997</v>
      </c>
      <c r="F118" s="213">
        <f t="shared" si="4"/>
        <v>2.6866840000000001</v>
      </c>
      <c r="G118" s="376"/>
    </row>
    <row r="119" spans="1:7" s="2" customFormat="1" x14ac:dyDescent="0.25">
      <c r="A119" s="21">
        <v>118</v>
      </c>
      <c r="B119" s="220" t="s">
        <v>359</v>
      </c>
      <c r="C119" s="221">
        <v>1</v>
      </c>
      <c r="D119" s="219">
        <v>33.99</v>
      </c>
      <c r="E119" s="213">
        <f t="shared" si="5"/>
        <v>2.0975229</v>
      </c>
      <c r="F119" s="213">
        <f t="shared" si="4"/>
        <v>1.1515812000000001</v>
      </c>
      <c r="G119" s="376"/>
    </row>
    <row r="120" spans="1:7" s="2" customFormat="1" x14ac:dyDescent="0.25">
      <c r="A120" s="22">
        <v>119</v>
      </c>
      <c r="B120" s="220" t="s">
        <v>360</v>
      </c>
      <c r="C120" s="221">
        <v>1</v>
      </c>
      <c r="D120" s="219">
        <v>33.99</v>
      </c>
      <c r="E120" s="213">
        <f t="shared" si="5"/>
        <v>2.0975229</v>
      </c>
      <c r="F120" s="213">
        <f t="shared" si="4"/>
        <v>1.1515812000000001</v>
      </c>
      <c r="G120" s="376"/>
    </row>
    <row r="121" spans="1:7" s="2" customFormat="1" x14ac:dyDescent="0.25">
      <c r="A121" s="21">
        <v>120</v>
      </c>
      <c r="B121" s="220" t="s">
        <v>361</v>
      </c>
      <c r="C121" s="221">
        <v>3</v>
      </c>
      <c r="D121" s="219">
        <v>62.48</v>
      </c>
      <c r="E121" s="213">
        <f t="shared" si="5"/>
        <v>3.8556407999999993</v>
      </c>
      <c r="F121" s="213">
        <f t="shared" si="4"/>
        <v>2.1168223999999998</v>
      </c>
      <c r="G121" s="376"/>
    </row>
    <row r="122" spans="1:7" s="2" customFormat="1" x14ac:dyDescent="0.25">
      <c r="A122" s="21">
        <v>121</v>
      </c>
      <c r="B122" s="220" t="s">
        <v>362</v>
      </c>
      <c r="C122" s="221">
        <v>2</v>
      </c>
      <c r="D122" s="219">
        <v>52.27</v>
      </c>
      <c r="E122" s="213">
        <f t="shared" si="5"/>
        <v>3.2255817000000002</v>
      </c>
      <c r="F122" s="213">
        <f t="shared" si="4"/>
        <v>1.7709076000000001</v>
      </c>
      <c r="G122" s="376"/>
    </row>
    <row r="123" spans="1:7" s="2" customFormat="1" x14ac:dyDescent="0.25">
      <c r="A123" s="22">
        <v>122</v>
      </c>
      <c r="B123" s="220" t="s">
        <v>363</v>
      </c>
      <c r="C123" s="221">
        <v>2</v>
      </c>
      <c r="D123" s="219">
        <v>52.27</v>
      </c>
      <c r="E123" s="213">
        <f t="shared" si="5"/>
        <v>3.2255817000000002</v>
      </c>
      <c r="F123" s="213">
        <f t="shared" si="4"/>
        <v>1.7709076000000001</v>
      </c>
      <c r="G123" s="376"/>
    </row>
    <row r="124" spans="1:7" s="2" customFormat="1" x14ac:dyDescent="0.25">
      <c r="A124" s="21">
        <v>123</v>
      </c>
      <c r="B124" s="220" t="s">
        <v>364</v>
      </c>
      <c r="C124" s="221">
        <v>3</v>
      </c>
      <c r="D124" s="219">
        <v>63</v>
      </c>
      <c r="E124" s="213">
        <f t="shared" si="5"/>
        <v>3.8877299999999995</v>
      </c>
      <c r="F124" s="213">
        <f t="shared" si="4"/>
        <v>2.1344400000000001</v>
      </c>
      <c r="G124" s="376"/>
    </row>
    <row r="125" spans="1:7" s="2" customFormat="1" x14ac:dyDescent="0.25">
      <c r="A125" s="21">
        <v>124</v>
      </c>
      <c r="B125" s="220" t="s">
        <v>365</v>
      </c>
      <c r="C125" s="221">
        <v>2</v>
      </c>
      <c r="D125" s="219">
        <v>52.27</v>
      </c>
      <c r="E125" s="213">
        <f t="shared" si="5"/>
        <v>3.2255817000000002</v>
      </c>
      <c r="F125" s="213">
        <f t="shared" si="4"/>
        <v>1.7709076000000001</v>
      </c>
      <c r="G125" s="376"/>
    </row>
    <row r="126" spans="1:7" s="2" customFormat="1" x14ac:dyDescent="0.25">
      <c r="A126" s="22">
        <v>125</v>
      </c>
      <c r="B126" s="315" t="s">
        <v>343</v>
      </c>
      <c r="C126" s="316">
        <v>1</v>
      </c>
      <c r="D126" s="317">
        <v>32.79</v>
      </c>
      <c r="E126" s="318"/>
      <c r="F126" s="318">
        <f t="shared" si="4"/>
        <v>1.1109252000000001</v>
      </c>
      <c r="G126" s="375">
        <v>12.49</v>
      </c>
    </row>
    <row r="127" spans="1:7" s="2" customFormat="1" x14ac:dyDescent="0.25">
      <c r="A127" s="21">
        <v>126</v>
      </c>
      <c r="B127" s="315" t="s">
        <v>344</v>
      </c>
      <c r="C127" s="316">
        <v>1</v>
      </c>
      <c r="D127" s="317">
        <v>32.700000000000003</v>
      </c>
      <c r="E127" s="318"/>
      <c r="F127" s="318">
        <f t="shared" si="4"/>
        <v>1.1078760000000001</v>
      </c>
      <c r="G127" s="377">
        <v>10.87</v>
      </c>
    </row>
    <row r="128" spans="1:7" s="2" customFormat="1" x14ac:dyDescent="0.25">
      <c r="A128" s="21">
        <v>127</v>
      </c>
      <c r="B128" s="315" t="s">
        <v>345</v>
      </c>
      <c r="C128" s="321">
        <v>1</v>
      </c>
      <c r="D128" s="322">
        <v>32.71</v>
      </c>
      <c r="E128" s="318"/>
      <c r="F128" s="318">
        <f t="shared" si="4"/>
        <v>1.1082148000000001</v>
      </c>
      <c r="G128" s="375">
        <v>10.88</v>
      </c>
    </row>
    <row r="129" spans="1:7" x14ac:dyDescent="0.25">
      <c r="A129" s="22">
        <v>128</v>
      </c>
      <c r="B129" s="315" t="s">
        <v>346</v>
      </c>
      <c r="C129" s="316">
        <v>1</v>
      </c>
      <c r="D129" s="317">
        <v>33.07</v>
      </c>
      <c r="E129" s="318"/>
      <c r="F129" s="318">
        <f t="shared" si="4"/>
        <v>1.1204116</v>
      </c>
      <c r="G129" s="377">
        <v>10.99</v>
      </c>
    </row>
    <row r="130" spans="1:7" x14ac:dyDescent="0.25">
      <c r="A130" s="21">
        <v>129</v>
      </c>
      <c r="B130" s="315" t="s">
        <v>470</v>
      </c>
      <c r="C130" s="316">
        <v>1</v>
      </c>
      <c r="D130" s="317">
        <v>33.14</v>
      </c>
      <c r="E130" s="318"/>
      <c r="F130" s="318">
        <f t="shared" si="4"/>
        <v>1.1227832</v>
      </c>
      <c r="G130" s="375">
        <v>11.01</v>
      </c>
    </row>
    <row r="131" spans="1:7" x14ac:dyDescent="0.25">
      <c r="A131" s="21">
        <v>130</v>
      </c>
      <c r="B131" s="315" t="s">
        <v>471</v>
      </c>
      <c r="C131" s="316">
        <v>1</v>
      </c>
      <c r="D131" s="317">
        <v>33.01</v>
      </c>
      <c r="E131" s="318"/>
      <c r="F131" s="318">
        <f t="shared" si="4"/>
        <v>1.1183787999999999</v>
      </c>
      <c r="G131" s="377">
        <v>10.97</v>
      </c>
    </row>
    <row r="132" spans="1:7" x14ac:dyDescent="0.25">
      <c r="A132" s="22">
        <v>131</v>
      </c>
      <c r="B132" s="315" t="s">
        <v>347</v>
      </c>
      <c r="C132" s="316">
        <v>1</v>
      </c>
      <c r="D132" s="317">
        <v>32.770000000000003</v>
      </c>
      <c r="E132" s="318"/>
      <c r="F132" s="318">
        <f t="shared" si="4"/>
        <v>1.1102476000000001</v>
      </c>
      <c r="G132" s="377">
        <v>10.9</v>
      </c>
    </row>
    <row r="133" spans="1:7" x14ac:dyDescent="0.25">
      <c r="A133" s="21">
        <v>132</v>
      </c>
      <c r="B133" s="315" t="s">
        <v>348</v>
      </c>
      <c r="C133" s="321">
        <v>1</v>
      </c>
      <c r="D133" s="322">
        <v>33.020000000000003</v>
      </c>
      <c r="E133" s="318"/>
      <c r="F133" s="318">
        <f t="shared" si="4"/>
        <v>1.1187176000000001</v>
      </c>
      <c r="G133" s="377">
        <v>13.57</v>
      </c>
    </row>
    <row r="134" spans="1:7" x14ac:dyDescent="0.25">
      <c r="A134" s="21">
        <v>133</v>
      </c>
      <c r="B134" s="315" t="s">
        <v>349</v>
      </c>
      <c r="C134" s="316">
        <v>1</v>
      </c>
      <c r="D134" s="317">
        <v>32.82</v>
      </c>
      <c r="E134" s="318"/>
      <c r="F134" s="318">
        <f t="shared" si="4"/>
        <v>1.1119416</v>
      </c>
      <c r="G134" s="375">
        <v>10.91</v>
      </c>
    </row>
    <row r="135" spans="1:7" x14ac:dyDescent="0.25">
      <c r="A135" s="22">
        <v>134</v>
      </c>
      <c r="B135" s="210" t="s">
        <v>350</v>
      </c>
      <c r="C135" s="211">
        <v>1</v>
      </c>
      <c r="D135" s="212">
        <v>33.49</v>
      </c>
      <c r="E135" s="213">
        <f t="shared" si="5"/>
        <v>2.0666678999999997</v>
      </c>
      <c r="F135" s="213">
        <f t="shared" si="4"/>
        <v>1.1346412000000001</v>
      </c>
      <c r="G135" s="376">
        <v>9.5</v>
      </c>
    </row>
    <row r="136" spans="1:7" x14ac:dyDescent="0.25">
      <c r="A136" s="21">
        <v>135</v>
      </c>
      <c r="B136" s="315" t="s">
        <v>250</v>
      </c>
      <c r="C136" s="316">
        <v>1</v>
      </c>
      <c r="D136" s="317">
        <v>36.450000000000003</v>
      </c>
      <c r="E136" s="318"/>
      <c r="F136" s="318">
        <f>D136*0.028*1.21</f>
        <v>1.2349260000000002</v>
      </c>
      <c r="G136" s="375">
        <v>18.420000000000002</v>
      </c>
    </row>
    <row r="137" spans="1:7" s="2" customFormat="1" x14ac:dyDescent="0.25">
      <c r="A137" s="21">
        <v>136</v>
      </c>
      <c r="B137" s="315" t="s">
        <v>512</v>
      </c>
      <c r="C137" s="316">
        <v>1</v>
      </c>
      <c r="D137" s="317">
        <v>34.19</v>
      </c>
      <c r="E137" s="318"/>
      <c r="F137" s="318">
        <f>D137*0.028*1.21</f>
        <v>1.1583572</v>
      </c>
      <c r="G137" s="375"/>
    </row>
    <row r="138" spans="1:7" x14ac:dyDescent="0.25">
      <c r="A138" s="21">
        <v>137</v>
      </c>
      <c r="B138" s="315" t="s">
        <v>351</v>
      </c>
      <c r="C138" s="316">
        <v>2</v>
      </c>
      <c r="D138" s="317">
        <v>48.87</v>
      </c>
      <c r="E138" s="318"/>
      <c r="F138" s="318">
        <f t="shared" ref="F138:F145" si="6">D138*0.028*1.21</f>
        <v>1.6557156</v>
      </c>
      <c r="G138" s="377">
        <v>32</v>
      </c>
    </row>
    <row r="139" spans="1:7" x14ac:dyDescent="0.25">
      <c r="A139" s="22">
        <v>138</v>
      </c>
      <c r="B139" s="210" t="s">
        <v>352</v>
      </c>
      <c r="C139" s="211">
        <v>2</v>
      </c>
      <c r="D139" s="212">
        <v>50.53</v>
      </c>
      <c r="E139" s="213">
        <f t="shared" si="5"/>
        <v>3.1182062999999998</v>
      </c>
      <c r="F139" s="213">
        <f t="shared" si="6"/>
        <v>1.7119564</v>
      </c>
      <c r="G139" s="376">
        <v>11.8</v>
      </c>
    </row>
    <row r="140" spans="1:7" s="2" customFormat="1" x14ac:dyDescent="0.25">
      <c r="A140" s="21">
        <v>139</v>
      </c>
      <c r="B140" s="210" t="s">
        <v>353</v>
      </c>
      <c r="C140" s="211">
        <v>2</v>
      </c>
      <c r="D140" s="212">
        <v>49.87</v>
      </c>
      <c r="E140" s="213">
        <f t="shared" si="5"/>
        <v>3.0774776999999998</v>
      </c>
      <c r="F140" s="213">
        <f t="shared" si="6"/>
        <v>1.6895956000000001</v>
      </c>
      <c r="G140" s="376">
        <v>11.13</v>
      </c>
    </row>
    <row r="141" spans="1:7" s="2" customFormat="1" x14ac:dyDescent="0.25">
      <c r="A141" s="21">
        <v>140</v>
      </c>
      <c r="B141" s="210" t="s">
        <v>354</v>
      </c>
      <c r="C141" s="211">
        <v>1</v>
      </c>
      <c r="D141" s="212">
        <v>36.57</v>
      </c>
      <c r="E141" s="213">
        <f t="shared" si="5"/>
        <v>2.2567347</v>
      </c>
      <c r="F141" s="213">
        <f t="shared" si="6"/>
        <v>1.2389915999999999</v>
      </c>
      <c r="G141" s="376"/>
    </row>
    <row r="142" spans="1:7" s="2" customFormat="1" x14ac:dyDescent="0.25">
      <c r="A142" s="22">
        <v>141</v>
      </c>
      <c r="B142" s="210" t="s">
        <v>355</v>
      </c>
      <c r="C142" s="211">
        <v>1</v>
      </c>
      <c r="D142" s="212">
        <v>36.49</v>
      </c>
      <c r="E142" s="213">
        <f t="shared" si="5"/>
        <v>2.2517978999999997</v>
      </c>
      <c r="F142" s="213">
        <f t="shared" si="6"/>
        <v>1.2362812000000001</v>
      </c>
      <c r="G142" s="376"/>
    </row>
    <row r="143" spans="1:7" s="2" customFormat="1" x14ac:dyDescent="0.25">
      <c r="A143" s="21">
        <v>142</v>
      </c>
      <c r="B143" s="210" t="s">
        <v>356</v>
      </c>
      <c r="C143" s="211">
        <v>2</v>
      </c>
      <c r="D143" s="212">
        <v>50.59</v>
      </c>
      <c r="E143" s="213">
        <f t="shared" si="5"/>
        <v>3.1219089000000002</v>
      </c>
      <c r="F143" s="213">
        <f t="shared" si="6"/>
        <v>1.7139892000000003</v>
      </c>
      <c r="G143" s="376"/>
    </row>
    <row r="144" spans="1:7" x14ac:dyDescent="0.25">
      <c r="A144" s="21">
        <v>143</v>
      </c>
      <c r="B144" s="315" t="s">
        <v>357</v>
      </c>
      <c r="C144" s="316">
        <v>3</v>
      </c>
      <c r="D144" s="317">
        <v>58.33</v>
      </c>
      <c r="E144" s="318"/>
      <c r="F144" s="318">
        <f t="shared" si="6"/>
        <v>1.9762203999999999</v>
      </c>
      <c r="G144" s="377">
        <v>36.090000000000003</v>
      </c>
    </row>
    <row r="145" spans="1:10" x14ac:dyDescent="0.25">
      <c r="A145" s="22">
        <v>144</v>
      </c>
      <c r="B145" s="222" t="s">
        <v>358</v>
      </c>
      <c r="C145" s="223">
        <v>2</v>
      </c>
      <c r="D145" s="224">
        <v>43.98</v>
      </c>
      <c r="E145" s="213">
        <f t="shared" si="5"/>
        <v>2.7140057999999998</v>
      </c>
      <c r="F145" s="213">
        <f t="shared" si="6"/>
        <v>1.4900423999999999</v>
      </c>
      <c r="G145" s="376"/>
    </row>
    <row r="146" spans="1:10" ht="15.75" thickBot="1" x14ac:dyDescent="0.3">
      <c r="A146" s="13"/>
      <c r="B146" s="379" t="s">
        <v>110</v>
      </c>
      <c r="C146" s="380"/>
      <c r="D146" s="381">
        <f>SUM(D2:D145)</f>
        <v>6026.9599999999973</v>
      </c>
      <c r="E146" s="381">
        <f>SUM(E2:E145)</f>
        <v>140.84443560000005</v>
      </c>
      <c r="F146" s="381">
        <f>SUM(F2:F145)</f>
        <v>189.6568519999999</v>
      </c>
      <c r="G146" s="382">
        <f>SUM(G2:G145)</f>
        <v>1899.3900000000006</v>
      </c>
      <c r="H146" s="114"/>
      <c r="I146" s="58"/>
      <c r="J146" s="58"/>
    </row>
    <row r="147" spans="1:10" ht="15.75" x14ac:dyDescent="0.25">
      <c r="B147" s="123"/>
    </row>
    <row r="148" spans="1:10" ht="15.75" x14ac:dyDescent="0.25">
      <c r="B148" s="123" t="s">
        <v>476</v>
      </c>
    </row>
    <row r="149" spans="1:10" ht="15.75" x14ac:dyDescent="0.25">
      <c r="A149" s="58"/>
      <c r="B149" s="121" t="s">
        <v>371</v>
      </c>
      <c r="C149" s="58">
        <v>200</v>
      </c>
      <c r="D149" s="58">
        <v>12</v>
      </c>
      <c r="E149" s="82">
        <f>C149*D149</f>
        <v>2400</v>
      </c>
    </row>
    <row r="150" spans="1:10" s="2" customFormat="1" ht="15.75" x14ac:dyDescent="0.25">
      <c r="A150" s="58"/>
      <c r="B150" s="121" t="s">
        <v>482</v>
      </c>
      <c r="C150" s="58">
        <v>200</v>
      </c>
      <c r="D150" s="58">
        <v>12</v>
      </c>
      <c r="E150" s="82">
        <f>C150*D150</f>
        <v>2400</v>
      </c>
    </row>
    <row r="151" spans="1:10" x14ac:dyDescent="0.25">
      <c r="A151" s="58"/>
      <c r="B151" s="58" t="s">
        <v>372</v>
      </c>
      <c r="C151" s="61">
        <f>D146/123</f>
        <v>48.999674796747946</v>
      </c>
      <c r="D151" s="58"/>
      <c r="E151" s="58"/>
    </row>
    <row r="152" spans="1:10" x14ac:dyDescent="0.25">
      <c r="A152" s="58"/>
      <c r="B152" s="58" t="s">
        <v>373</v>
      </c>
      <c r="C152" s="58">
        <v>25</v>
      </c>
      <c r="D152" s="58"/>
      <c r="E152" s="58"/>
    </row>
    <row r="153" spans="1:10" ht="31.5" x14ac:dyDescent="0.25">
      <c r="A153" s="58"/>
      <c r="B153" s="121" t="s">
        <v>374</v>
      </c>
      <c r="C153" s="58">
        <f>C152*123</f>
        <v>3075</v>
      </c>
      <c r="D153" s="58">
        <v>12</v>
      </c>
      <c r="E153" s="58">
        <f>C153*D153</f>
        <v>36900</v>
      </c>
    </row>
    <row r="154" spans="1:10" x14ac:dyDescent="0.25">
      <c r="E154">
        <f>E149+E153</f>
        <v>39300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10"/>
  <sheetViews>
    <sheetView topLeftCell="A91" zoomScale="90" zoomScaleNormal="90" zoomScaleSheetLayoutView="80" workbookViewId="0">
      <selection activeCell="O14" sqref="O14"/>
    </sheetView>
  </sheetViews>
  <sheetFormatPr defaultRowHeight="15" x14ac:dyDescent="0.25"/>
  <cols>
    <col min="1" max="1" width="4.140625" customWidth="1"/>
    <col min="2" max="2" width="24.7109375" customWidth="1"/>
    <col min="3" max="3" width="8.140625" customWidth="1"/>
    <col min="4" max="4" width="9.140625" customWidth="1"/>
    <col min="5" max="5" width="9.5703125" style="2" customWidth="1"/>
    <col min="6" max="6" width="12" customWidth="1"/>
    <col min="7" max="7" width="10.5703125" customWidth="1"/>
    <col min="8" max="8" width="7.28515625" customWidth="1"/>
    <col min="9" max="9" width="23" customWidth="1"/>
    <col min="10" max="10" width="12.28515625" style="2" customWidth="1"/>
    <col min="11" max="11" width="12" customWidth="1"/>
    <col min="12" max="12" width="11.42578125" style="2" customWidth="1"/>
    <col min="13" max="13" width="11" style="2" customWidth="1"/>
    <col min="14" max="14" width="11.85546875" style="2" customWidth="1"/>
    <col min="15" max="15" width="9" customWidth="1"/>
    <col min="16" max="16" width="11" customWidth="1"/>
    <col min="17" max="17" width="9.42578125" bestFit="1" customWidth="1"/>
    <col min="18" max="18" width="9.140625" style="2"/>
    <col min="19" max="19" width="11.85546875" customWidth="1"/>
  </cols>
  <sheetData>
    <row r="1" spans="1:19" ht="16.5" thickBot="1" x14ac:dyDescent="0.3">
      <c r="A1" s="483" t="s">
        <v>231</v>
      </c>
      <c r="B1" s="483"/>
    </row>
    <row r="2" spans="1:19" ht="45.75" customHeight="1" thickBot="1" x14ac:dyDescent="0.3">
      <c r="A2" s="16" t="s">
        <v>0</v>
      </c>
      <c r="B2" s="17" t="s">
        <v>1</v>
      </c>
      <c r="C2" s="53" t="s">
        <v>94</v>
      </c>
      <c r="D2" s="53" t="s">
        <v>95</v>
      </c>
      <c r="E2" s="53" t="s">
        <v>102</v>
      </c>
      <c r="F2" s="53" t="s">
        <v>2</v>
      </c>
      <c r="G2" s="53" t="s">
        <v>69</v>
      </c>
      <c r="H2" s="53" t="s">
        <v>3</v>
      </c>
      <c r="I2" s="53" t="s">
        <v>73</v>
      </c>
      <c r="J2" s="53" t="s">
        <v>226</v>
      </c>
      <c r="K2" s="53" t="s">
        <v>225</v>
      </c>
      <c r="L2" s="53" t="s">
        <v>108</v>
      </c>
      <c r="M2" s="53" t="s">
        <v>243</v>
      </c>
      <c r="N2" s="53" t="s">
        <v>381</v>
      </c>
      <c r="O2" s="53" t="s">
        <v>109</v>
      </c>
      <c r="P2" s="53" t="s">
        <v>170</v>
      </c>
      <c r="Q2" s="53" t="s">
        <v>223</v>
      </c>
      <c r="R2" s="53" t="s">
        <v>247</v>
      </c>
      <c r="S2" s="53" t="s">
        <v>169</v>
      </c>
    </row>
    <row r="3" spans="1:19" ht="15" customHeight="1" x14ac:dyDescent="0.25">
      <c r="A3" s="21">
        <v>1</v>
      </c>
      <c r="B3" s="102" t="s">
        <v>24</v>
      </c>
      <c r="C3" s="103">
        <v>72</v>
      </c>
      <c r="D3" s="124">
        <v>1</v>
      </c>
      <c r="E3" s="103" t="s">
        <v>142</v>
      </c>
      <c r="F3" s="142">
        <v>42612</v>
      </c>
      <c r="G3" s="51">
        <f>31/C3</f>
        <v>0.43055555555555558</v>
      </c>
      <c r="H3" s="25"/>
      <c r="I3" s="26">
        <v>0</v>
      </c>
      <c r="J3" s="26"/>
      <c r="K3" s="72"/>
      <c r="L3" s="25"/>
      <c r="M3" s="46"/>
      <c r="N3" s="46"/>
      <c r="O3" s="153" t="s">
        <v>111</v>
      </c>
      <c r="P3" s="154">
        <v>41607</v>
      </c>
      <c r="Q3" s="155">
        <v>1748</v>
      </c>
      <c r="R3" s="156"/>
      <c r="S3" s="157">
        <v>41722</v>
      </c>
    </row>
    <row r="4" spans="1:19" x14ac:dyDescent="0.25">
      <c r="A4" s="22">
        <v>2</v>
      </c>
      <c r="B4" s="73" t="s">
        <v>25</v>
      </c>
      <c r="C4" s="73">
        <v>18</v>
      </c>
      <c r="D4" s="89">
        <v>2</v>
      </c>
      <c r="E4" s="73" t="s">
        <v>143</v>
      </c>
      <c r="F4" s="128">
        <v>41596</v>
      </c>
      <c r="G4" s="143">
        <f>11/18</f>
        <v>0.61111111111111116</v>
      </c>
      <c r="H4" s="74" t="s">
        <v>68</v>
      </c>
      <c r="I4" s="144" t="s">
        <v>174</v>
      </c>
      <c r="J4" s="165">
        <v>669730.91494399996</v>
      </c>
      <c r="K4" s="145">
        <f>J4/3.4528</f>
        <v>193967.47999999998</v>
      </c>
      <c r="L4" s="128">
        <v>42053</v>
      </c>
      <c r="M4" s="75">
        <v>42563</v>
      </c>
      <c r="N4" s="144"/>
      <c r="O4" s="144" t="s">
        <v>111</v>
      </c>
      <c r="P4" s="146">
        <v>41607</v>
      </c>
      <c r="Q4" s="147">
        <v>1748</v>
      </c>
      <c r="R4" s="112"/>
      <c r="S4" s="148">
        <v>41722</v>
      </c>
    </row>
    <row r="5" spans="1:19" x14ac:dyDescent="0.25">
      <c r="A5" s="22">
        <v>3</v>
      </c>
      <c r="B5" s="42" t="s">
        <v>26</v>
      </c>
      <c r="C5" s="42">
        <v>36</v>
      </c>
      <c r="D5" s="238">
        <v>1</v>
      </c>
      <c r="E5" s="42" t="s">
        <v>119</v>
      </c>
      <c r="F5" s="250">
        <v>41613</v>
      </c>
      <c r="G5" s="251">
        <f>24/36</f>
        <v>0.66666666666666663</v>
      </c>
      <c r="H5" s="237" t="s">
        <v>68</v>
      </c>
      <c r="I5" s="236" t="s">
        <v>78</v>
      </c>
      <c r="J5" s="289">
        <v>1266011.1200000001</v>
      </c>
      <c r="K5" s="252">
        <f>J5/3.4528</f>
        <v>366662.16404077853</v>
      </c>
      <c r="L5" s="250">
        <v>41726</v>
      </c>
      <c r="M5" s="253">
        <v>42318</v>
      </c>
      <c r="N5" s="236" t="s">
        <v>68</v>
      </c>
      <c r="O5" s="236" t="s">
        <v>111</v>
      </c>
      <c r="P5" s="254">
        <v>41607</v>
      </c>
      <c r="Q5" s="255">
        <v>1748</v>
      </c>
      <c r="R5" s="256"/>
      <c r="S5" s="257">
        <v>41722</v>
      </c>
    </row>
    <row r="6" spans="1:19" x14ac:dyDescent="0.25">
      <c r="A6" s="22">
        <v>4</v>
      </c>
      <c r="B6" s="42" t="s">
        <v>27</v>
      </c>
      <c r="C6" s="42">
        <v>72</v>
      </c>
      <c r="D6" s="238">
        <v>2</v>
      </c>
      <c r="E6" s="260" t="s">
        <v>101</v>
      </c>
      <c r="F6" s="250">
        <v>41611</v>
      </c>
      <c r="G6" s="251">
        <f>44/72</f>
        <v>0.61111111111111116</v>
      </c>
      <c r="H6" s="237" t="s">
        <v>68</v>
      </c>
      <c r="I6" s="236" t="s">
        <v>228</v>
      </c>
      <c r="J6" s="289">
        <v>1337000.01</v>
      </c>
      <c r="K6" s="252">
        <f>J6/3.4528</f>
        <v>387221.96767840593</v>
      </c>
      <c r="L6" s="250">
        <v>41773</v>
      </c>
      <c r="M6" s="253">
        <v>42321</v>
      </c>
      <c r="N6" s="236" t="s">
        <v>68</v>
      </c>
      <c r="O6" s="236" t="s">
        <v>167</v>
      </c>
      <c r="P6" s="258">
        <v>41827</v>
      </c>
      <c r="Q6" s="249">
        <v>1723.35</v>
      </c>
      <c r="R6" s="259"/>
      <c r="S6" s="257">
        <v>41851</v>
      </c>
    </row>
    <row r="7" spans="1:19" x14ac:dyDescent="0.25">
      <c r="A7" s="22">
        <v>5</v>
      </c>
      <c r="B7" s="73" t="s">
        <v>28</v>
      </c>
      <c r="C7" s="73">
        <v>22</v>
      </c>
      <c r="D7" s="89">
        <v>0</v>
      </c>
      <c r="E7" s="73" t="s">
        <v>154</v>
      </c>
      <c r="F7" s="128">
        <v>42611</v>
      </c>
      <c r="G7" s="143">
        <f>14/C7</f>
        <v>0.63636363636363635</v>
      </c>
      <c r="H7" s="74"/>
      <c r="I7" s="144">
        <v>0</v>
      </c>
      <c r="J7" s="144"/>
      <c r="K7" s="335"/>
      <c r="L7" s="74"/>
      <c r="M7" s="144"/>
      <c r="N7" s="144"/>
      <c r="O7" s="144" t="s">
        <v>111</v>
      </c>
      <c r="P7" s="149">
        <v>41607</v>
      </c>
      <c r="Q7" s="150">
        <v>1748</v>
      </c>
      <c r="R7" s="151"/>
      <c r="S7" s="148">
        <v>41722</v>
      </c>
    </row>
    <row r="8" spans="1:19" x14ac:dyDescent="0.25">
      <c r="A8" s="22">
        <v>6</v>
      </c>
      <c r="B8" s="73" t="s">
        <v>390</v>
      </c>
      <c r="C8" s="73">
        <v>20</v>
      </c>
      <c r="D8" s="89">
        <v>0</v>
      </c>
      <c r="E8" s="73" t="s">
        <v>150</v>
      </c>
      <c r="F8" s="128">
        <v>41617</v>
      </c>
      <c r="G8" s="143">
        <f>12/20</f>
        <v>0.6</v>
      </c>
      <c r="H8" s="74" t="s">
        <v>68</v>
      </c>
      <c r="I8" s="144" t="s">
        <v>241</v>
      </c>
      <c r="J8" s="165">
        <f>K8*3.4528</f>
        <v>990548.82825600007</v>
      </c>
      <c r="K8" s="145">
        <v>286882.77</v>
      </c>
      <c r="L8" s="74">
        <v>2015</v>
      </c>
      <c r="M8" s="75">
        <v>42663</v>
      </c>
      <c r="N8" s="144"/>
      <c r="O8" s="144" t="s">
        <v>111</v>
      </c>
      <c r="P8" s="149">
        <v>41607</v>
      </c>
      <c r="Q8" s="150">
        <v>1748</v>
      </c>
      <c r="R8" s="151"/>
      <c r="S8" s="148">
        <v>41722</v>
      </c>
    </row>
    <row r="9" spans="1:19" x14ac:dyDescent="0.25">
      <c r="A9" s="22">
        <v>7</v>
      </c>
      <c r="B9" s="42" t="s">
        <v>29</v>
      </c>
      <c r="C9" s="42">
        <v>72</v>
      </c>
      <c r="D9" s="238">
        <v>6</v>
      </c>
      <c r="E9" s="42" t="s">
        <v>135</v>
      </c>
      <c r="F9" s="250">
        <v>41598</v>
      </c>
      <c r="G9" s="251">
        <f>40/72</f>
        <v>0.55555555555555558</v>
      </c>
      <c r="H9" s="237" t="s">
        <v>68</v>
      </c>
      <c r="I9" s="236" t="s">
        <v>78</v>
      </c>
      <c r="J9" s="252">
        <v>1108711.4099999999</v>
      </c>
      <c r="K9" s="252">
        <f>J9/3.4528</f>
        <v>321105.01911492122</v>
      </c>
      <c r="L9" s="250">
        <v>41711</v>
      </c>
      <c r="M9" s="253">
        <v>42166</v>
      </c>
      <c r="N9" s="253" t="s">
        <v>68</v>
      </c>
      <c r="O9" s="236" t="s">
        <v>111</v>
      </c>
      <c r="P9" s="254">
        <v>41607</v>
      </c>
      <c r="Q9" s="255">
        <f>1748-21.88</f>
        <v>1726.12</v>
      </c>
      <c r="R9" s="256"/>
      <c r="S9" s="257">
        <v>41722</v>
      </c>
    </row>
    <row r="10" spans="1:19" x14ac:dyDescent="0.25">
      <c r="A10" s="22">
        <v>8</v>
      </c>
      <c r="B10" s="73" t="s">
        <v>30</v>
      </c>
      <c r="C10" s="73">
        <v>65</v>
      </c>
      <c r="D10" s="89">
        <v>1</v>
      </c>
      <c r="E10" s="73" t="s">
        <v>140</v>
      </c>
      <c r="F10" s="128">
        <v>41597</v>
      </c>
      <c r="G10" s="143">
        <f>37/65</f>
        <v>0.56923076923076921</v>
      </c>
      <c r="H10" s="28" t="s">
        <v>75</v>
      </c>
      <c r="I10" s="15">
        <v>0</v>
      </c>
      <c r="J10" s="15"/>
      <c r="K10" s="87"/>
      <c r="L10" s="28"/>
      <c r="M10" s="15"/>
      <c r="N10" s="15"/>
      <c r="O10" s="144" t="s">
        <v>167</v>
      </c>
      <c r="P10" s="146">
        <v>41877</v>
      </c>
      <c r="Q10" s="147">
        <v>1726.12</v>
      </c>
      <c r="R10" s="112"/>
      <c r="S10" s="148">
        <v>41914</v>
      </c>
    </row>
    <row r="11" spans="1:19" x14ac:dyDescent="0.25">
      <c r="A11" s="22">
        <v>9</v>
      </c>
      <c r="B11" s="73" t="s">
        <v>31</v>
      </c>
      <c r="C11" s="73">
        <v>44</v>
      </c>
      <c r="D11" s="89">
        <v>2</v>
      </c>
      <c r="E11" s="73" t="s">
        <v>118</v>
      </c>
      <c r="F11" s="128">
        <v>41592</v>
      </c>
      <c r="G11" s="143">
        <f>29/44</f>
        <v>0.65909090909090906</v>
      </c>
      <c r="H11" s="74" t="s">
        <v>68</v>
      </c>
      <c r="I11" s="144" t="s">
        <v>472</v>
      </c>
      <c r="J11" s="165">
        <v>1456837.58</v>
      </c>
      <c r="K11" s="145">
        <f>J11/3.4528</f>
        <v>421929.32692307694</v>
      </c>
      <c r="L11" s="128">
        <v>41691</v>
      </c>
      <c r="M11" s="144"/>
      <c r="N11" s="144"/>
      <c r="O11" s="144" t="s">
        <v>111</v>
      </c>
      <c r="P11" s="149">
        <v>41607</v>
      </c>
      <c r="Q11" s="150">
        <v>1748</v>
      </c>
      <c r="R11" s="151"/>
      <c r="S11" s="148">
        <v>41722</v>
      </c>
    </row>
    <row r="12" spans="1:19" x14ac:dyDescent="0.25">
      <c r="A12" s="22">
        <v>10</v>
      </c>
      <c r="B12" s="73" t="s">
        <v>32</v>
      </c>
      <c r="C12" s="73">
        <v>38</v>
      </c>
      <c r="D12" s="89">
        <v>18</v>
      </c>
      <c r="E12" s="73" t="s">
        <v>145</v>
      </c>
      <c r="F12" s="128">
        <v>42436</v>
      </c>
      <c r="G12" s="143">
        <f>24/38</f>
        <v>0.63157894736842102</v>
      </c>
      <c r="H12" s="28" t="s">
        <v>75</v>
      </c>
      <c r="I12" s="15">
        <v>0</v>
      </c>
      <c r="J12" s="15"/>
      <c r="K12" s="63"/>
      <c r="L12" s="28"/>
      <c r="M12" s="15"/>
      <c r="N12" s="15"/>
      <c r="O12" s="144" t="s">
        <v>167</v>
      </c>
      <c r="P12" s="146">
        <v>41877</v>
      </c>
      <c r="Q12" s="147">
        <v>1716.42</v>
      </c>
      <c r="R12" s="112"/>
      <c r="S12" s="148">
        <v>41914</v>
      </c>
    </row>
    <row r="13" spans="1:19" x14ac:dyDescent="0.25">
      <c r="A13" s="22">
        <v>11</v>
      </c>
      <c r="B13" s="73" t="s">
        <v>33</v>
      </c>
      <c r="C13" s="73">
        <v>18</v>
      </c>
      <c r="D13" s="89">
        <v>0</v>
      </c>
      <c r="E13" s="73" t="s">
        <v>117</v>
      </c>
      <c r="F13" s="128">
        <v>41606</v>
      </c>
      <c r="G13" s="143">
        <f>13/18</f>
        <v>0.72222222222222221</v>
      </c>
      <c r="H13" s="74" t="s">
        <v>68</v>
      </c>
      <c r="I13" s="15">
        <v>0</v>
      </c>
      <c r="J13" s="15" t="s">
        <v>76</v>
      </c>
      <c r="K13" s="63" t="s">
        <v>76</v>
      </c>
      <c r="L13" s="28" t="s">
        <v>76</v>
      </c>
      <c r="M13" s="15"/>
      <c r="N13" s="15"/>
      <c r="O13" s="144" t="s">
        <v>111</v>
      </c>
      <c r="P13" s="149">
        <v>41607</v>
      </c>
      <c r="Q13" s="150">
        <v>1748</v>
      </c>
      <c r="R13" s="151"/>
      <c r="S13" s="148">
        <v>41722</v>
      </c>
    </row>
    <row r="14" spans="1:19" ht="15" customHeight="1" x14ac:dyDescent="0.25">
      <c r="A14" s="22">
        <v>12</v>
      </c>
      <c r="B14" s="73" t="s">
        <v>37</v>
      </c>
      <c r="C14" s="73">
        <v>65</v>
      </c>
      <c r="D14" s="89">
        <v>2</v>
      </c>
      <c r="E14" s="73" t="s">
        <v>129</v>
      </c>
      <c r="F14" s="128">
        <v>42585</v>
      </c>
      <c r="G14" s="333">
        <f>41/C14</f>
        <v>0.63076923076923075</v>
      </c>
      <c r="H14" s="74"/>
      <c r="I14" s="144">
        <v>0</v>
      </c>
      <c r="J14" s="144"/>
      <c r="K14" s="73"/>
      <c r="L14" s="74"/>
      <c r="M14" s="144"/>
      <c r="N14" s="144"/>
      <c r="O14" s="144" t="s">
        <v>77</v>
      </c>
      <c r="P14" s="158"/>
      <c r="Q14" s="147"/>
      <c r="R14" s="112"/>
      <c r="S14" s="159"/>
    </row>
    <row r="15" spans="1:19" x14ac:dyDescent="0.25">
      <c r="A15" s="22">
        <v>13</v>
      </c>
      <c r="B15" s="42" t="s">
        <v>35</v>
      </c>
      <c r="C15" s="42">
        <v>40</v>
      </c>
      <c r="D15" s="238">
        <v>1</v>
      </c>
      <c r="E15" s="44" t="s">
        <v>100</v>
      </c>
      <c r="F15" s="250">
        <v>41604</v>
      </c>
      <c r="G15" s="251">
        <f>23/40</f>
        <v>0.57499999999999996</v>
      </c>
      <c r="H15" s="237" t="s">
        <v>68</v>
      </c>
      <c r="I15" s="236" t="s">
        <v>97</v>
      </c>
      <c r="J15" s="252">
        <v>977725.98</v>
      </c>
      <c r="K15" s="252">
        <f>J15/3.4528</f>
        <v>283169.01645041705</v>
      </c>
      <c r="L15" s="250">
        <v>41724</v>
      </c>
      <c r="M15" s="253">
        <v>42173</v>
      </c>
      <c r="N15" s="253" t="s">
        <v>68</v>
      </c>
      <c r="O15" s="236" t="s">
        <v>167</v>
      </c>
      <c r="P15" s="258">
        <v>41795</v>
      </c>
      <c r="Q15" s="249">
        <v>1723.35</v>
      </c>
      <c r="R15" s="259"/>
      <c r="S15" s="257">
        <v>41837</v>
      </c>
    </row>
    <row r="16" spans="1:19" x14ac:dyDescent="0.25">
      <c r="A16" s="22">
        <v>14</v>
      </c>
      <c r="B16" s="73" t="s">
        <v>36</v>
      </c>
      <c r="C16" s="73">
        <v>30</v>
      </c>
      <c r="D16" s="89">
        <v>0</v>
      </c>
      <c r="E16" s="73" t="s">
        <v>152</v>
      </c>
      <c r="F16" s="128">
        <v>41603</v>
      </c>
      <c r="G16" s="143">
        <f>21/30</f>
        <v>0.7</v>
      </c>
      <c r="H16" s="74" t="s">
        <v>68</v>
      </c>
      <c r="I16" s="332" t="s">
        <v>227</v>
      </c>
      <c r="J16" s="165">
        <v>1025384.25</v>
      </c>
      <c r="K16" s="145">
        <f>J16/3.4528</f>
        <v>296971.80549119558</v>
      </c>
      <c r="L16" s="128">
        <v>41739</v>
      </c>
      <c r="M16" s="144"/>
      <c r="N16" s="144"/>
      <c r="O16" s="144" t="s">
        <v>111</v>
      </c>
      <c r="P16" s="149">
        <v>41607</v>
      </c>
      <c r="Q16" s="150">
        <v>1748</v>
      </c>
      <c r="R16" s="151"/>
      <c r="S16" s="148">
        <v>41722</v>
      </c>
    </row>
    <row r="17" spans="1:19" x14ac:dyDescent="0.25">
      <c r="A17" s="22">
        <v>15</v>
      </c>
      <c r="B17" s="42" t="s">
        <v>38</v>
      </c>
      <c r="C17" s="42">
        <v>100</v>
      </c>
      <c r="D17" s="238">
        <v>9</v>
      </c>
      <c r="E17" s="42" t="s">
        <v>123</v>
      </c>
      <c r="F17" s="250">
        <v>41592</v>
      </c>
      <c r="G17" s="251">
        <f>58/100</f>
        <v>0.57999999999999996</v>
      </c>
      <c r="H17" s="237" t="s">
        <v>68</v>
      </c>
      <c r="I17" s="236" t="s">
        <v>228</v>
      </c>
      <c r="J17" s="289">
        <v>1277700.8799999999</v>
      </c>
      <c r="K17" s="252">
        <f>J17/3.4528</f>
        <v>370047.75254865614</v>
      </c>
      <c r="L17" s="250">
        <v>41694</v>
      </c>
      <c r="M17" s="253">
        <v>42347</v>
      </c>
      <c r="N17" s="236" t="s">
        <v>68</v>
      </c>
      <c r="O17" s="236" t="s">
        <v>111</v>
      </c>
      <c r="P17" s="254">
        <v>41607</v>
      </c>
      <c r="Q17" s="255">
        <v>1748</v>
      </c>
      <c r="R17" s="256"/>
      <c r="S17" s="257">
        <v>41722</v>
      </c>
    </row>
    <row r="18" spans="1:19" x14ac:dyDescent="0.25">
      <c r="A18" s="22">
        <v>16</v>
      </c>
      <c r="B18" s="73" t="s">
        <v>39</v>
      </c>
      <c r="C18" s="73">
        <v>65</v>
      </c>
      <c r="D18" s="89">
        <v>3</v>
      </c>
      <c r="E18" s="73" t="s">
        <v>157</v>
      </c>
      <c r="F18" s="128">
        <v>42458</v>
      </c>
      <c r="G18" s="27">
        <f>29/C18</f>
        <v>0.44615384615384618</v>
      </c>
      <c r="H18" s="28"/>
      <c r="I18" s="15">
        <v>0</v>
      </c>
      <c r="J18" s="15"/>
      <c r="K18" s="95"/>
      <c r="L18" s="28"/>
      <c r="M18" s="15"/>
      <c r="N18" s="15"/>
      <c r="O18" s="144" t="s">
        <v>77</v>
      </c>
      <c r="P18" s="158"/>
      <c r="Q18" s="147"/>
      <c r="R18" s="112"/>
      <c r="S18" s="159"/>
    </row>
    <row r="19" spans="1:19" x14ac:dyDescent="0.25">
      <c r="A19" s="22">
        <v>17</v>
      </c>
      <c r="B19" s="42" t="s">
        <v>34</v>
      </c>
      <c r="C19" s="42">
        <v>30</v>
      </c>
      <c r="D19" s="238">
        <v>1</v>
      </c>
      <c r="E19" s="42" t="s">
        <v>107</v>
      </c>
      <c r="F19" s="250">
        <v>41605</v>
      </c>
      <c r="G19" s="251">
        <f>18/29</f>
        <v>0.62068965517241381</v>
      </c>
      <c r="H19" s="237" t="s">
        <v>68</v>
      </c>
      <c r="I19" s="236" t="s">
        <v>78</v>
      </c>
      <c r="J19" s="289">
        <v>774111.15</v>
      </c>
      <c r="K19" s="309">
        <f>J19/3.4528</f>
        <v>224198.0856116775</v>
      </c>
      <c r="L19" s="250">
        <v>41726</v>
      </c>
      <c r="M19" s="253">
        <v>42324</v>
      </c>
      <c r="N19" s="236" t="s">
        <v>68</v>
      </c>
      <c r="O19" s="236" t="s">
        <v>167</v>
      </c>
      <c r="P19" s="258">
        <v>41808</v>
      </c>
      <c r="Q19" s="249">
        <v>1723.35</v>
      </c>
      <c r="R19" s="259"/>
      <c r="S19" s="257">
        <v>41919</v>
      </c>
    </row>
    <row r="20" spans="1:19" x14ac:dyDescent="0.25">
      <c r="A20" s="22">
        <v>18</v>
      </c>
      <c r="B20" s="73" t="s">
        <v>175</v>
      </c>
      <c r="C20" s="73">
        <v>30</v>
      </c>
      <c r="D20" s="89">
        <v>0</v>
      </c>
      <c r="E20" s="73" t="s">
        <v>128</v>
      </c>
      <c r="F20" s="128">
        <v>41598</v>
      </c>
      <c r="G20" s="27">
        <f>4/18</f>
        <v>0.22222222222222221</v>
      </c>
      <c r="H20" s="28"/>
      <c r="I20" s="15">
        <v>0</v>
      </c>
      <c r="J20" s="15"/>
      <c r="K20" s="63"/>
      <c r="L20" s="28"/>
      <c r="M20" s="15"/>
      <c r="N20" s="15"/>
      <c r="O20" s="144" t="s">
        <v>111</v>
      </c>
      <c r="P20" s="149">
        <v>41607</v>
      </c>
      <c r="Q20" s="150">
        <v>1748</v>
      </c>
      <c r="R20" s="151"/>
      <c r="S20" s="148">
        <v>41722</v>
      </c>
    </row>
    <row r="21" spans="1:19" x14ac:dyDescent="0.25">
      <c r="A21" s="22">
        <v>19</v>
      </c>
      <c r="B21" s="42" t="s">
        <v>40</v>
      </c>
      <c r="C21" s="42">
        <v>22</v>
      </c>
      <c r="D21" s="238">
        <v>22</v>
      </c>
      <c r="E21" s="42" t="s">
        <v>144</v>
      </c>
      <c r="F21" s="250">
        <v>41617</v>
      </c>
      <c r="G21" s="251">
        <f>22/22</f>
        <v>1</v>
      </c>
      <c r="H21" s="237" t="s">
        <v>68</v>
      </c>
      <c r="I21" s="236" t="s">
        <v>98</v>
      </c>
      <c r="J21" s="289">
        <v>786639.44</v>
      </c>
      <c r="K21" s="252">
        <f>J21/3.4528</f>
        <v>227826.52919369785</v>
      </c>
      <c r="L21" s="250">
        <v>41774</v>
      </c>
      <c r="M21" s="253">
        <v>42356</v>
      </c>
      <c r="N21" s="236" t="s">
        <v>68</v>
      </c>
      <c r="O21" s="236" t="s">
        <v>167</v>
      </c>
      <c r="P21" s="258">
        <v>41843</v>
      </c>
      <c r="Q21" s="249">
        <v>1716.42</v>
      </c>
      <c r="R21" s="259"/>
      <c r="S21" s="257">
        <v>41914</v>
      </c>
    </row>
    <row r="22" spans="1:19" x14ac:dyDescent="0.25">
      <c r="A22" s="22">
        <v>20</v>
      </c>
      <c r="B22" s="42" t="s">
        <v>41</v>
      </c>
      <c r="C22" s="42">
        <v>44</v>
      </c>
      <c r="D22" s="238">
        <v>1</v>
      </c>
      <c r="E22" s="42" t="s">
        <v>139</v>
      </c>
      <c r="F22" s="250">
        <v>41592</v>
      </c>
      <c r="G22" s="251">
        <f>27/44</f>
        <v>0.61363636363636365</v>
      </c>
      <c r="H22" s="237" t="s">
        <v>68</v>
      </c>
      <c r="I22" s="236" t="s">
        <v>228</v>
      </c>
      <c r="J22" s="252">
        <v>1206124.22</v>
      </c>
      <c r="K22" s="252">
        <f>J22/3.4528</f>
        <v>349317.71895273402</v>
      </c>
      <c r="L22" s="250">
        <v>41694</v>
      </c>
      <c r="M22" s="253">
        <v>42135</v>
      </c>
      <c r="N22" s="253" t="s">
        <v>68</v>
      </c>
      <c r="O22" s="236" t="s">
        <v>111</v>
      </c>
      <c r="P22" s="254">
        <v>41607</v>
      </c>
      <c r="Q22" s="255">
        <f>1748-21.88</f>
        <v>1726.12</v>
      </c>
      <c r="R22" s="256"/>
      <c r="S22" s="257">
        <v>41722</v>
      </c>
    </row>
    <row r="23" spans="1:19" x14ac:dyDescent="0.25">
      <c r="A23" s="22">
        <v>21</v>
      </c>
      <c r="B23" s="73" t="s">
        <v>42</v>
      </c>
      <c r="C23" s="73">
        <v>25</v>
      </c>
      <c r="D23" s="89">
        <v>1</v>
      </c>
      <c r="E23" s="73" t="s">
        <v>131</v>
      </c>
      <c r="F23" s="128">
        <v>41598</v>
      </c>
      <c r="G23" s="143">
        <f>16/25</f>
        <v>0.64</v>
      </c>
      <c r="H23" s="74" t="s">
        <v>68</v>
      </c>
      <c r="I23" s="73" t="s">
        <v>227</v>
      </c>
      <c r="J23" s="165">
        <v>747113.05</v>
      </c>
      <c r="K23" s="145">
        <f>J23/3.4528</f>
        <v>216378.89538924932</v>
      </c>
      <c r="L23" s="128">
        <v>41753</v>
      </c>
      <c r="M23" s="75">
        <v>42668</v>
      </c>
      <c r="N23" s="144"/>
      <c r="O23" s="144" t="s">
        <v>77</v>
      </c>
      <c r="P23" s="158"/>
      <c r="Q23" s="85"/>
      <c r="R23" s="160"/>
      <c r="S23" s="159"/>
    </row>
    <row r="24" spans="1:19" x14ac:dyDescent="0.25">
      <c r="A24" s="22">
        <v>22</v>
      </c>
      <c r="B24" s="73" t="s">
        <v>43</v>
      </c>
      <c r="C24" s="73">
        <v>60</v>
      </c>
      <c r="D24" s="89">
        <v>3</v>
      </c>
      <c r="E24" s="73" t="s">
        <v>112</v>
      </c>
      <c r="F24" s="128">
        <v>42534</v>
      </c>
      <c r="G24" s="143">
        <f>41/60</f>
        <v>0.68333333333333335</v>
      </c>
      <c r="H24" s="74"/>
      <c r="I24" s="144">
        <v>0</v>
      </c>
      <c r="J24" s="144"/>
      <c r="K24" s="73"/>
      <c r="L24" s="74"/>
      <c r="M24" s="144"/>
      <c r="N24" s="144"/>
      <c r="O24" s="144" t="s">
        <v>167</v>
      </c>
      <c r="P24" s="146">
        <v>41808</v>
      </c>
      <c r="Q24" s="85">
        <v>1723.35</v>
      </c>
      <c r="R24" s="160"/>
      <c r="S24" s="148">
        <v>41919</v>
      </c>
    </row>
    <row r="25" spans="1:19" x14ac:dyDescent="0.25">
      <c r="A25" s="22">
        <v>23</v>
      </c>
      <c r="B25" s="161" t="s">
        <v>44</v>
      </c>
      <c r="C25" s="73">
        <v>18</v>
      </c>
      <c r="D25" s="89">
        <v>0</v>
      </c>
      <c r="E25" s="73" t="s">
        <v>115</v>
      </c>
      <c r="F25" s="128">
        <v>41606</v>
      </c>
      <c r="G25" s="51" t="s">
        <v>72</v>
      </c>
      <c r="H25" s="28"/>
      <c r="I25" s="15">
        <v>0</v>
      </c>
      <c r="J25" s="15"/>
      <c r="K25" s="63"/>
      <c r="L25" s="28"/>
      <c r="M25" s="15"/>
      <c r="N25" s="15"/>
      <c r="O25" s="144" t="s">
        <v>77</v>
      </c>
      <c r="P25" s="158"/>
      <c r="Q25" s="85"/>
      <c r="R25" s="160"/>
      <c r="S25" s="159"/>
    </row>
    <row r="26" spans="1:19" x14ac:dyDescent="0.25">
      <c r="A26" s="23">
        <v>24</v>
      </c>
      <c r="B26" s="77" t="s">
        <v>45</v>
      </c>
      <c r="C26" s="73">
        <v>53</v>
      </c>
      <c r="D26" s="89">
        <v>1</v>
      </c>
      <c r="E26" s="73" t="s">
        <v>133</v>
      </c>
      <c r="F26" s="162">
        <v>42612</v>
      </c>
      <c r="G26" s="339">
        <f>36/C26</f>
        <v>0.67924528301886788</v>
      </c>
      <c r="H26" s="340"/>
      <c r="I26" s="338">
        <v>0</v>
      </c>
      <c r="J26" s="338"/>
      <c r="K26" s="336"/>
      <c r="L26" s="337"/>
      <c r="M26" s="338"/>
      <c r="N26" s="338"/>
      <c r="O26" s="144" t="s">
        <v>77</v>
      </c>
      <c r="P26" s="158"/>
      <c r="Q26" s="85"/>
      <c r="R26" s="160"/>
      <c r="S26" s="159"/>
    </row>
    <row r="27" spans="1:19" x14ac:dyDescent="0.25">
      <c r="A27" s="23">
        <v>25</v>
      </c>
      <c r="B27" s="77" t="s">
        <v>46</v>
      </c>
      <c r="C27" s="73">
        <v>40</v>
      </c>
      <c r="D27" s="89">
        <v>0</v>
      </c>
      <c r="E27" s="73" t="s">
        <v>114</v>
      </c>
      <c r="F27" s="162">
        <v>41603</v>
      </c>
      <c r="G27" s="163">
        <f>23/40</f>
        <v>0.57499999999999996</v>
      </c>
      <c r="H27" s="32" t="s">
        <v>75</v>
      </c>
      <c r="I27" s="15">
        <v>0</v>
      </c>
      <c r="J27" s="15"/>
      <c r="K27" s="63"/>
      <c r="L27" s="28"/>
      <c r="M27" s="15"/>
      <c r="N27" s="15"/>
      <c r="O27" s="144" t="s">
        <v>167</v>
      </c>
      <c r="P27" s="146">
        <v>41808</v>
      </c>
      <c r="Q27" s="85">
        <v>1723.35</v>
      </c>
      <c r="R27" s="160"/>
      <c r="S27" s="148">
        <v>41919</v>
      </c>
    </row>
    <row r="28" spans="1:19" x14ac:dyDescent="0.25">
      <c r="A28" s="23">
        <v>26</v>
      </c>
      <c r="B28" s="77" t="s">
        <v>47</v>
      </c>
      <c r="C28" s="73">
        <v>40</v>
      </c>
      <c r="D28" s="89">
        <v>1</v>
      </c>
      <c r="E28" s="73" t="s">
        <v>121</v>
      </c>
      <c r="F28" s="162">
        <v>41610</v>
      </c>
      <c r="G28" s="163">
        <f>24/40</f>
        <v>0.6</v>
      </c>
      <c r="H28" s="164" t="s">
        <v>68</v>
      </c>
      <c r="I28" s="332" t="s">
        <v>227</v>
      </c>
      <c r="J28" s="165">
        <v>1456789.13</v>
      </c>
      <c r="K28" s="145">
        <f>J28/3.4528</f>
        <v>421915.29483317886</v>
      </c>
      <c r="L28" s="128">
        <v>41724</v>
      </c>
      <c r="M28" s="144"/>
      <c r="N28" s="144"/>
      <c r="O28" s="144" t="s">
        <v>111</v>
      </c>
      <c r="P28" s="149">
        <v>41607</v>
      </c>
      <c r="Q28" s="150">
        <v>1748</v>
      </c>
      <c r="R28" s="151"/>
      <c r="S28" s="148">
        <v>41722</v>
      </c>
    </row>
    <row r="29" spans="1:19" x14ac:dyDescent="0.25">
      <c r="A29" s="23">
        <v>27</v>
      </c>
      <c r="B29" s="260" t="s">
        <v>48</v>
      </c>
      <c r="C29" s="42">
        <v>45</v>
      </c>
      <c r="D29" s="238">
        <v>1</v>
      </c>
      <c r="E29" s="42" t="s">
        <v>147</v>
      </c>
      <c r="F29" s="261">
        <v>41599</v>
      </c>
      <c r="G29" s="262">
        <f>26/45</f>
        <v>0.57777777777777772</v>
      </c>
      <c r="H29" s="263" t="s">
        <v>68</v>
      </c>
      <c r="I29" s="236" t="s">
        <v>228</v>
      </c>
      <c r="J29" s="289">
        <f>923720.55</f>
        <v>923720.55</v>
      </c>
      <c r="K29" s="252">
        <f>J29/3.4528</f>
        <v>267527.96281278966</v>
      </c>
      <c r="L29" s="250">
        <v>41848</v>
      </c>
      <c r="M29" s="253">
        <v>42347</v>
      </c>
      <c r="N29" s="236" t="s">
        <v>68</v>
      </c>
      <c r="O29" s="236" t="s">
        <v>111</v>
      </c>
      <c r="P29" s="254">
        <v>41607</v>
      </c>
      <c r="Q29" s="255">
        <v>1748</v>
      </c>
      <c r="R29" s="256"/>
      <c r="S29" s="257">
        <v>41722</v>
      </c>
    </row>
    <row r="30" spans="1:19" x14ac:dyDescent="0.25">
      <c r="A30" s="23">
        <v>28</v>
      </c>
      <c r="B30" s="260" t="s">
        <v>49</v>
      </c>
      <c r="C30" s="42">
        <v>75</v>
      </c>
      <c r="D30" s="238">
        <v>0</v>
      </c>
      <c r="E30" s="42" t="s">
        <v>116</v>
      </c>
      <c r="F30" s="261">
        <v>41611</v>
      </c>
      <c r="G30" s="262">
        <f>45/75</f>
        <v>0.6</v>
      </c>
      <c r="H30" s="237" t="s">
        <v>68</v>
      </c>
      <c r="I30" s="236" t="s">
        <v>228</v>
      </c>
      <c r="J30" s="289">
        <v>1696000.19</v>
      </c>
      <c r="K30" s="252">
        <f>J30/3.4528</f>
        <v>491195.60646431881</v>
      </c>
      <c r="L30" s="250">
        <v>41746</v>
      </c>
      <c r="M30" s="253">
        <v>42347</v>
      </c>
      <c r="N30" s="236" t="s">
        <v>68</v>
      </c>
      <c r="O30" s="236" t="s">
        <v>167</v>
      </c>
      <c r="P30" s="258">
        <v>41843</v>
      </c>
      <c r="Q30" s="125">
        <v>1723.35</v>
      </c>
      <c r="R30" s="136"/>
      <c r="S30" s="257">
        <v>41914</v>
      </c>
    </row>
    <row r="31" spans="1:19" x14ac:dyDescent="0.25">
      <c r="A31" s="23">
        <v>29</v>
      </c>
      <c r="B31" s="260" t="s">
        <v>50</v>
      </c>
      <c r="C31" s="42">
        <v>45</v>
      </c>
      <c r="D31" s="238">
        <v>1</v>
      </c>
      <c r="E31" s="42" t="s">
        <v>120</v>
      </c>
      <c r="F31" s="261">
        <v>41597</v>
      </c>
      <c r="G31" s="262">
        <f>30/45</f>
        <v>0.66666666666666663</v>
      </c>
      <c r="H31" s="263" t="s">
        <v>68</v>
      </c>
      <c r="I31" s="236" t="s">
        <v>224</v>
      </c>
      <c r="J31" s="252">
        <v>1152731.33</v>
      </c>
      <c r="K31" s="252">
        <f>J31/3.4528</f>
        <v>333854.06916126044</v>
      </c>
      <c r="L31" s="250">
        <v>41694</v>
      </c>
      <c r="M31" s="253">
        <v>42173</v>
      </c>
      <c r="N31" s="253" t="s">
        <v>68</v>
      </c>
      <c r="O31" s="236" t="s">
        <v>167</v>
      </c>
      <c r="P31" s="258">
        <v>41844</v>
      </c>
      <c r="Q31" s="125">
        <v>1726.12</v>
      </c>
      <c r="R31" s="136"/>
      <c r="S31" s="257">
        <v>41914</v>
      </c>
    </row>
    <row r="32" spans="1:19" x14ac:dyDescent="0.25">
      <c r="A32" s="22">
        <v>30</v>
      </c>
      <c r="B32" s="73" t="s">
        <v>51</v>
      </c>
      <c r="C32" s="73">
        <v>75</v>
      </c>
      <c r="D32" s="89">
        <v>3</v>
      </c>
      <c r="E32" s="73" t="s">
        <v>155</v>
      </c>
      <c r="F32" s="128">
        <v>41599</v>
      </c>
      <c r="G32" s="51" t="s">
        <v>72</v>
      </c>
      <c r="H32" s="28"/>
      <c r="I32" s="15">
        <v>0</v>
      </c>
      <c r="J32" s="15"/>
      <c r="K32" s="63"/>
      <c r="L32" s="28"/>
      <c r="M32" s="15"/>
      <c r="N32" s="15"/>
      <c r="O32" s="144" t="s">
        <v>77</v>
      </c>
      <c r="P32" s="158"/>
      <c r="Q32" s="85"/>
      <c r="R32" s="160"/>
      <c r="S32" s="159"/>
    </row>
    <row r="33" spans="1:19" x14ac:dyDescent="0.25">
      <c r="A33" s="23">
        <v>31</v>
      </c>
      <c r="B33" s="260" t="s">
        <v>52</v>
      </c>
      <c r="C33" s="42">
        <v>40</v>
      </c>
      <c r="D33" s="238">
        <v>0</v>
      </c>
      <c r="E33" s="42" t="s">
        <v>136</v>
      </c>
      <c r="F33" s="261">
        <v>41612</v>
      </c>
      <c r="G33" s="262">
        <f>24/40</f>
        <v>0.6</v>
      </c>
      <c r="H33" s="263" t="s">
        <v>68</v>
      </c>
      <c r="I33" s="236" t="s">
        <v>96</v>
      </c>
      <c r="J33" s="252">
        <v>956485.64</v>
      </c>
      <c r="K33" s="252">
        <f>J33/3.4528</f>
        <v>277017.38878591289</v>
      </c>
      <c r="L33" s="250">
        <v>41743</v>
      </c>
      <c r="M33" s="253">
        <v>42209</v>
      </c>
      <c r="N33" s="253" t="s">
        <v>68</v>
      </c>
      <c r="O33" s="236" t="s">
        <v>167</v>
      </c>
      <c r="P33" s="258">
        <v>41850</v>
      </c>
      <c r="Q33" s="125">
        <v>1723.35</v>
      </c>
      <c r="R33" s="136"/>
      <c r="S33" s="257">
        <v>41914</v>
      </c>
    </row>
    <row r="34" spans="1:19" x14ac:dyDescent="0.25">
      <c r="A34" s="23">
        <v>32</v>
      </c>
      <c r="B34" s="77" t="s">
        <v>391</v>
      </c>
      <c r="C34" s="73">
        <v>28</v>
      </c>
      <c r="D34" s="89">
        <v>0</v>
      </c>
      <c r="E34" s="73" t="s">
        <v>122</v>
      </c>
      <c r="F34" s="162">
        <v>41596</v>
      </c>
      <c r="G34" s="51" t="s">
        <v>72</v>
      </c>
      <c r="H34" s="32"/>
      <c r="I34" s="15">
        <v>0</v>
      </c>
      <c r="J34" s="15"/>
      <c r="K34" s="63"/>
      <c r="L34" s="28"/>
      <c r="M34" s="15"/>
      <c r="N34" s="15"/>
      <c r="O34" s="144" t="s">
        <v>111</v>
      </c>
      <c r="P34" s="149">
        <v>41607</v>
      </c>
      <c r="Q34" s="150">
        <v>1748</v>
      </c>
      <c r="R34" s="151"/>
      <c r="S34" s="148">
        <v>41722</v>
      </c>
    </row>
    <row r="35" spans="1:19" x14ac:dyDescent="0.25">
      <c r="A35" s="23">
        <v>33</v>
      </c>
      <c r="B35" s="77" t="s">
        <v>53</v>
      </c>
      <c r="C35" s="73">
        <v>20</v>
      </c>
      <c r="D35" s="89">
        <v>0</v>
      </c>
      <c r="E35" s="73" t="s">
        <v>132</v>
      </c>
      <c r="F35" s="162">
        <v>41610</v>
      </c>
      <c r="G35" s="29">
        <f>3/20</f>
        <v>0.15</v>
      </c>
      <c r="H35" s="32"/>
      <c r="I35" s="15">
        <v>0</v>
      </c>
      <c r="J35" s="15"/>
      <c r="K35" s="63"/>
      <c r="L35" s="28"/>
      <c r="M35" s="15"/>
      <c r="N35" s="15"/>
      <c r="O35" s="144" t="s">
        <v>111</v>
      </c>
      <c r="P35" s="149">
        <v>41607</v>
      </c>
      <c r="Q35" s="150">
        <v>1748</v>
      </c>
      <c r="R35" s="151"/>
      <c r="S35" s="148">
        <v>41722</v>
      </c>
    </row>
    <row r="36" spans="1:19" x14ac:dyDescent="0.25">
      <c r="A36" s="23">
        <v>34</v>
      </c>
      <c r="B36" s="260" t="s">
        <v>54</v>
      </c>
      <c r="C36" s="42">
        <v>65</v>
      </c>
      <c r="D36" s="238">
        <v>5</v>
      </c>
      <c r="E36" s="42" t="s">
        <v>137</v>
      </c>
      <c r="F36" s="261">
        <v>41606</v>
      </c>
      <c r="G36" s="262">
        <f>38/65</f>
        <v>0.58461538461538465</v>
      </c>
      <c r="H36" s="263" t="s">
        <v>68</v>
      </c>
      <c r="I36" s="236" t="s">
        <v>96</v>
      </c>
      <c r="J36" s="252">
        <v>1053825.3</v>
      </c>
      <c r="K36" s="252">
        <f>J36/3.4528</f>
        <v>305208.90291936981</v>
      </c>
      <c r="L36" s="250">
        <v>41779</v>
      </c>
      <c r="M36" s="253">
        <v>42209</v>
      </c>
      <c r="N36" s="253" t="s">
        <v>68</v>
      </c>
      <c r="O36" s="236" t="s">
        <v>167</v>
      </c>
      <c r="P36" s="258">
        <v>41850</v>
      </c>
      <c r="Q36" s="125">
        <v>1723.35</v>
      </c>
      <c r="R36" s="136"/>
      <c r="S36" s="257">
        <v>41914</v>
      </c>
    </row>
    <row r="37" spans="1:19" x14ac:dyDescent="0.25">
      <c r="A37" s="23">
        <v>35</v>
      </c>
      <c r="B37" s="77" t="s">
        <v>55</v>
      </c>
      <c r="C37" s="73">
        <v>54</v>
      </c>
      <c r="D37" s="89">
        <v>2</v>
      </c>
      <c r="E37" s="73" t="s">
        <v>149</v>
      </c>
      <c r="F37" s="162">
        <v>41604</v>
      </c>
      <c r="G37" s="51" t="s">
        <v>72</v>
      </c>
      <c r="H37" s="32"/>
      <c r="I37" s="15">
        <v>0</v>
      </c>
      <c r="J37" s="15"/>
      <c r="K37" s="63"/>
      <c r="L37" s="28"/>
      <c r="M37" s="15"/>
      <c r="N37" s="15"/>
      <c r="O37" s="144" t="s">
        <v>77</v>
      </c>
      <c r="P37" s="158"/>
      <c r="Q37" s="85"/>
      <c r="R37" s="160"/>
      <c r="S37" s="159"/>
    </row>
    <row r="38" spans="1:19" x14ac:dyDescent="0.25">
      <c r="A38" s="23">
        <v>36</v>
      </c>
      <c r="B38" s="260" t="s">
        <v>56</v>
      </c>
      <c r="C38" s="42">
        <v>25</v>
      </c>
      <c r="D38" s="238">
        <v>0</v>
      </c>
      <c r="E38" s="42" t="s">
        <v>138</v>
      </c>
      <c r="F38" s="261">
        <v>41612</v>
      </c>
      <c r="G38" s="262">
        <f>14/24</f>
        <v>0.58333333333333337</v>
      </c>
      <c r="H38" s="237" t="s">
        <v>68</v>
      </c>
      <c r="I38" s="236" t="s">
        <v>78</v>
      </c>
      <c r="J38" s="252">
        <v>719911.01</v>
      </c>
      <c r="K38" s="252">
        <f>J38/3.4528</f>
        <v>208500.64006024098</v>
      </c>
      <c r="L38" s="250">
        <v>41747</v>
      </c>
      <c r="M38" s="253">
        <v>42192</v>
      </c>
      <c r="N38" s="253" t="s">
        <v>68</v>
      </c>
      <c r="O38" s="236" t="s">
        <v>167</v>
      </c>
      <c r="P38" s="258">
        <v>41850</v>
      </c>
      <c r="Q38" s="125">
        <v>1723.35</v>
      </c>
      <c r="R38" s="136"/>
      <c r="S38" s="257">
        <v>41914</v>
      </c>
    </row>
    <row r="39" spans="1:19" x14ac:dyDescent="0.25">
      <c r="A39" s="23">
        <v>37</v>
      </c>
      <c r="B39" s="260" t="s">
        <v>57</v>
      </c>
      <c r="C39" s="42">
        <v>80</v>
      </c>
      <c r="D39" s="238">
        <v>3</v>
      </c>
      <c r="E39" s="42" t="s">
        <v>125</v>
      </c>
      <c r="F39" s="261">
        <v>41596</v>
      </c>
      <c r="G39" s="262">
        <f>50/80</f>
        <v>0.625</v>
      </c>
      <c r="H39" s="263" t="s">
        <v>68</v>
      </c>
      <c r="I39" s="236" t="s">
        <v>78</v>
      </c>
      <c r="J39" s="289">
        <v>2036111.41</v>
      </c>
      <c r="K39" s="252">
        <f>J39/3.4528</f>
        <v>589698.62430491194</v>
      </c>
      <c r="L39" s="250">
        <v>41710</v>
      </c>
      <c r="M39" s="253">
        <v>42310</v>
      </c>
      <c r="N39" s="236" t="s">
        <v>68</v>
      </c>
      <c r="O39" s="236" t="s">
        <v>111</v>
      </c>
      <c r="P39" s="254">
        <v>41607</v>
      </c>
      <c r="Q39" s="255">
        <v>1748</v>
      </c>
      <c r="R39" s="256"/>
      <c r="S39" s="257">
        <v>41722</v>
      </c>
    </row>
    <row r="40" spans="1:19" x14ac:dyDescent="0.25">
      <c r="A40" s="23">
        <v>38</v>
      </c>
      <c r="B40" s="77" t="s">
        <v>58</v>
      </c>
      <c r="C40" s="73">
        <v>22</v>
      </c>
      <c r="D40" s="89">
        <v>0</v>
      </c>
      <c r="E40" s="73" t="s">
        <v>130</v>
      </c>
      <c r="F40" s="162">
        <v>42612</v>
      </c>
      <c r="G40" s="51">
        <f>1/C40</f>
        <v>4.5454545454545456E-2</v>
      </c>
      <c r="H40" s="32"/>
      <c r="I40" s="15">
        <v>0</v>
      </c>
      <c r="J40" s="15"/>
      <c r="K40" s="63"/>
      <c r="L40" s="28"/>
      <c r="M40" s="15"/>
      <c r="N40" s="15"/>
      <c r="O40" s="144" t="s">
        <v>77</v>
      </c>
      <c r="P40" s="158"/>
      <c r="Q40" s="85"/>
      <c r="R40" s="160"/>
      <c r="S40" s="159"/>
    </row>
    <row r="41" spans="1:19" x14ac:dyDescent="0.25">
      <c r="A41" s="23">
        <v>39</v>
      </c>
      <c r="B41" s="260" t="s">
        <v>383</v>
      </c>
      <c r="C41" s="42">
        <v>45</v>
      </c>
      <c r="D41" s="238">
        <v>0</v>
      </c>
      <c r="E41" s="42" t="s">
        <v>156</v>
      </c>
      <c r="F41" s="261">
        <v>41663</v>
      </c>
      <c r="G41" s="301">
        <f>32/45</f>
        <v>0.71111111111111114</v>
      </c>
      <c r="H41" s="263" t="s">
        <v>68</v>
      </c>
      <c r="I41" s="236" t="s">
        <v>228</v>
      </c>
      <c r="J41" s="289">
        <v>1545051.75</v>
      </c>
      <c r="K41" s="252">
        <f>J41/3.4528</f>
        <v>447477.91647358669</v>
      </c>
      <c r="L41" s="250">
        <v>41743</v>
      </c>
      <c r="M41" s="253">
        <v>42278</v>
      </c>
      <c r="N41" s="253" t="s">
        <v>68</v>
      </c>
      <c r="O41" s="236" t="s">
        <v>167</v>
      </c>
      <c r="P41" s="258">
        <v>41906</v>
      </c>
      <c r="Q41" s="125">
        <v>1716.42</v>
      </c>
      <c r="R41" s="136"/>
      <c r="S41" s="257">
        <v>41947</v>
      </c>
    </row>
    <row r="42" spans="1:19" x14ac:dyDescent="0.25">
      <c r="A42" s="23">
        <v>40</v>
      </c>
      <c r="B42" s="77" t="s">
        <v>59</v>
      </c>
      <c r="C42" s="73">
        <v>75</v>
      </c>
      <c r="D42" s="89">
        <v>20</v>
      </c>
      <c r="E42" s="73" t="s">
        <v>127</v>
      </c>
      <c r="F42" s="162">
        <v>41598</v>
      </c>
      <c r="G42" s="51" t="s">
        <v>72</v>
      </c>
      <c r="H42" s="55"/>
      <c r="I42" s="57">
        <v>0</v>
      </c>
      <c r="J42" s="57"/>
      <c r="K42" s="88"/>
      <c r="L42" s="86"/>
      <c r="M42" s="56"/>
      <c r="N42" s="56"/>
      <c r="O42" s="144" t="s">
        <v>77</v>
      </c>
      <c r="P42" s="158"/>
      <c r="Q42" s="85"/>
      <c r="R42" s="160"/>
      <c r="S42" s="159"/>
    </row>
    <row r="43" spans="1:19" x14ac:dyDescent="0.25">
      <c r="A43" s="23">
        <v>41</v>
      </c>
      <c r="B43" s="77" t="s">
        <v>60</v>
      </c>
      <c r="C43" s="73">
        <v>50</v>
      </c>
      <c r="D43" s="89">
        <v>4</v>
      </c>
      <c r="E43" s="73" t="s">
        <v>141</v>
      </c>
      <c r="F43" s="162">
        <v>41613</v>
      </c>
      <c r="G43" s="163">
        <f>30/50</f>
        <v>0.6</v>
      </c>
      <c r="H43" s="164" t="s">
        <v>68</v>
      </c>
      <c r="I43" s="332" t="s">
        <v>227</v>
      </c>
      <c r="J43" s="165">
        <v>1275003.67</v>
      </c>
      <c r="K43" s="145">
        <f>J43/3.4528</f>
        <v>369266.5865384615</v>
      </c>
      <c r="L43" s="128">
        <v>41739</v>
      </c>
      <c r="M43" s="75"/>
      <c r="N43" s="144"/>
      <c r="O43" s="144" t="s">
        <v>167</v>
      </c>
      <c r="P43" s="146">
        <v>41850</v>
      </c>
      <c r="Q43" s="85">
        <v>1723.35</v>
      </c>
      <c r="R43" s="160"/>
      <c r="S43" s="148">
        <v>41914</v>
      </c>
    </row>
    <row r="44" spans="1:19" x14ac:dyDescent="0.25">
      <c r="A44" s="23">
        <v>42</v>
      </c>
      <c r="B44" s="260" t="s">
        <v>61</v>
      </c>
      <c r="C44" s="42">
        <v>60</v>
      </c>
      <c r="D44" s="238">
        <v>4</v>
      </c>
      <c r="E44" s="42" t="s">
        <v>134</v>
      </c>
      <c r="F44" s="261">
        <v>41612</v>
      </c>
      <c r="G44" s="262">
        <f>40/60</f>
        <v>0.66666666666666663</v>
      </c>
      <c r="H44" s="263" t="s">
        <v>68</v>
      </c>
      <c r="I44" s="236" t="s">
        <v>78</v>
      </c>
      <c r="J44" s="289">
        <v>1315111.1100000001</v>
      </c>
      <c r="K44" s="252">
        <f>J44/3.4528</f>
        <v>380882.50405468029</v>
      </c>
      <c r="L44" s="250">
        <v>41774</v>
      </c>
      <c r="M44" s="253">
        <v>42353</v>
      </c>
      <c r="N44" s="236" t="s">
        <v>68</v>
      </c>
      <c r="O44" s="236" t="s">
        <v>167</v>
      </c>
      <c r="P44" s="258">
        <v>41850</v>
      </c>
      <c r="Q44" s="125">
        <v>1723.35</v>
      </c>
      <c r="R44" s="136"/>
      <c r="S44" s="257">
        <v>41914</v>
      </c>
    </row>
    <row r="45" spans="1:19" x14ac:dyDescent="0.25">
      <c r="A45" s="23">
        <v>43</v>
      </c>
      <c r="B45" s="77" t="s">
        <v>62</v>
      </c>
      <c r="C45" s="73">
        <v>60</v>
      </c>
      <c r="D45" s="89">
        <v>9</v>
      </c>
      <c r="E45" s="73" t="s">
        <v>125</v>
      </c>
      <c r="F45" s="162">
        <v>42548</v>
      </c>
      <c r="G45" s="51">
        <f>16/C45</f>
        <v>0.26666666666666666</v>
      </c>
      <c r="H45" s="32"/>
      <c r="I45" s="15">
        <v>0</v>
      </c>
      <c r="J45" s="15"/>
      <c r="K45" s="63"/>
      <c r="L45" s="28"/>
      <c r="M45" s="15"/>
      <c r="N45" s="15"/>
      <c r="O45" s="144" t="s">
        <v>77</v>
      </c>
      <c r="P45" s="158"/>
      <c r="Q45" s="85"/>
      <c r="R45" s="160"/>
      <c r="S45" s="159"/>
    </row>
    <row r="46" spans="1:19" x14ac:dyDescent="0.25">
      <c r="A46" s="23">
        <v>44</v>
      </c>
      <c r="B46" s="77" t="s">
        <v>63</v>
      </c>
      <c r="C46" s="73">
        <v>120</v>
      </c>
      <c r="D46" s="89">
        <v>72</v>
      </c>
      <c r="E46" s="73" t="s">
        <v>126</v>
      </c>
      <c r="F46" s="162">
        <v>41598</v>
      </c>
      <c r="G46" s="163">
        <f>75/120</f>
        <v>0.625</v>
      </c>
      <c r="H46" s="32" t="s">
        <v>75</v>
      </c>
      <c r="I46" s="15">
        <v>0</v>
      </c>
      <c r="J46" s="15"/>
      <c r="K46" s="63"/>
      <c r="L46" s="28"/>
      <c r="M46" s="15"/>
      <c r="N46" s="15"/>
      <c r="O46" s="144" t="s">
        <v>167</v>
      </c>
      <c r="P46" s="146">
        <v>41851</v>
      </c>
      <c r="Q46" s="85">
        <v>1723.35</v>
      </c>
      <c r="R46" s="160"/>
      <c r="S46" s="148">
        <v>41914</v>
      </c>
    </row>
    <row r="47" spans="1:19" ht="15.75" thickBot="1" x14ac:dyDescent="0.3">
      <c r="A47" s="24">
        <v>45</v>
      </c>
      <c r="B47" s="167" t="s">
        <v>64</v>
      </c>
      <c r="C47" s="167">
        <v>18</v>
      </c>
      <c r="D47" s="168">
        <v>0</v>
      </c>
      <c r="E47" s="167" t="s">
        <v>146</v>
      </c>
      <c r="F47" s="169">
        <v>42611</v>
      </c>
      <c r="G47" s="30">
        <f>7/18</f>
        <v>0.3888888888888889</v>
      </c>
      <c r="H47" s="34"/>
      <c r="I47" s="35">
        <v>0</v>
      </c>
      <c r="J47" s="35"/>
      <c r="K47" s="81"/>
      <c r="L47" s="34"/>
      <c r="M47" s="35"/>
      <c r="N47" s="35"/>
      <c r="O47" s="10" t="s">
        <v>77</v>
      </c>
      <c r="P47" s="13"/>
      <c r="Q47" s="60"/>
      <c r="R47" s="110"/>
      <c r="S47" s="14"/>
    </row>
    <row r="48" spans="1:19" s="2" customFormat="1" x14ac:dyDescent="0.25">
      <c r="A48" s="48"/>
      <c r="B48" s="49" t="s">
        <v>110</v>
      </c>
      <c r="C48" s="2">
        <f>SUM(C3:C47)</f>
        <v>2141</v>
      </c>
      <c r="D48" s="2">
        <f>SUM(D3:D47)</f>
        <v>202</v>
      </c>
      <c r="E48" s="50"/>
      <c r="F48" s="1"/>
      <c r="G48" s="31">
        <f>COUNTIF(G3:G47,"&gt;50%")</f>
        <v>33</v>
      </c>
      <c r="H48" s="31">
        <f>COUNTIF(H3:H47,"Taip")</f>
        <v>25</v>
      </c>
      <c r="I48" s="31">
        <f>COUNTIF(I3:I47,"&lt;&gt;0")</f>
        <v>24</v>
      </c>
      <c r="J48" s="52">
        <f>SUM(J3:J47)</f>
        <v>27754379.923200004</v>
      </c>
      <c r="K48" s="52">
        <f>SUM(K3:K47)</f>
        <v>8038224.0278035235</v>
      </c>
      <c r="L48" s="47"/>
      <c r="M48" s="47">
        <f>COUNTA(M3:M47)</f>
        <v>20</v>
      </c>
      <c r="N48" s="47">
        <f>COUNTA(N3:N47)</f>
        <v>17</v>
      </c>
      <c r="O48" s="1"/>
    </row>
    <row r="49" spans="1:19" ht="16.5" thickBot="1" x14ac:dyDescent="0.3">
      <c r="A49" s="484" t="s">
        <v>232</v>
      </c>
      <c r="B49" s="484"/>
      <c r="K49" s="47"/>
      <c r="L49" s="47"/>
      <c r="M49" s="47"/>
      <c r="N49" s="47"/>
      <c r="O49" s="1"/>
    </row>
    <row r="50" spans="1:19" ht="48" customHeight="1" thickBot="1" x14ac:dyDescent="0.3">
      <c r="A50" s="36" t="s">
        <v>0</v>
      </c>
      <c r="B50" s="37" t="s">
        <v>1</v>
      </c>
      <c r="C50" s="38" t="s">
        <v>94</v>
      </c>
      <c r="D50" s="53" t="s">
        <v>95</v>
      </c>
      <c r="E50" s="53" t="s">
        <v>102</v>
      </c>
      <c r="F50" s="38" t="s">
        <v>2</v>
      </c>
      <c r="G50" s="53" t="s">
        <v>69</v>
      </c>
      <c r="H50" s="53" t="s">
        <v>3</v>
      </c>
      <c r="I50" s="53" t="s">
        <v>73</v>
      </c>
      <c r="J50" s="53" t="s">
        <v>226</v>
      </c>
      <c r="K50" s="53" t="s">
        <v>225</v>
      </c>
      <c r="L50" s="53" t="s">
        <v>108</v>
      </c>
      <c r="M50" s="53" t="s">
        <v>243</v>
      </c>
      <c r="N50" s="53" t="s">
        <v>381</v>
      </c>
      <c r="O50" s="53" t="s">
        <v>109</v>
      </c>
      <c r="P50" s="53" t="s">
        <v>170</v>
      </c>
      <c r="Q50" s="53" t="s">
        <v>168</v>
      </c>
      <c r="R50" s="53" t="s">
        <v>247</v>
      </c>
      <c r="S50" s="53" t="s">
        <v>169</v>
      </c>
    </row>
    <row r="51" spans="1:19" x14ac:dyDescent="0.25">
      <c r="A51" s="21">
        <v>1</v>
      </c>
      <c r="B51" s="102" t="s">
        <v>4</v>
      </c>
      <c r="C51" s="153">
        <v>45</v>
      </c>
      <c r="D51" s="103">
        <v>0</v>
      </c>
      <c r="E51" s="175" t="s">
        <v>192</v>
      </c>
      <c r="F51" s="138">
        <v>41890</v>
      </c>
      <c r="G51" s="27">
        <f>20/C51</f>
        <v>0.44444444444444442</v>
      </c>
      <c r="H51" s="25"/>
      <c r="I51" s="26"/>
      <c r="J51" s="46"/>
      <c r="K51" s="46"/>
      <c r="L51" s="46"/>
      <c r="M51" s="46"/>
      <c r="N51" s="46"/>
      <c r="O51" s="152" t="s">
        <v>111</v>
      </c>
      <c r="P51" s="170">
        <v>41883</v>
      </c>
      <c r="Q51" s="155">
        <f>35798.88/19</f>
        <v>1884.1515789473683</v>
      </c>
      <c r="R51" s="156"/>
      <c r="S51" s="157">
        <v>41908</v>
      </c>
    </row>
    <row r="52" spans="1:19" x14ac:dyDescent="0.25">
      <c r="A52" s="22">
        <v>2</v>
      </c>
      <c r="B52" s="73" t="s">
        <v>392</v>
      </c>
      <c r="C52" s="144">
        <v>8</v>
      </c>
      <c r="D52" s="73">
        <v>0</v>
      </c>
      <c r="E52" s="175" t="s">
        <v>183</v>
      </c>
      <c r="F52" s="138">
        <v>41900</v>
      </c>
      <c r="G52" s="51" t="s">
        <v>72</v>
      </c>
      <c r="H52" s="28"/>
      <c r="I52" s="15"/>
      <c r="J52" s="15"/>
      <c r="K52" s="15"/>
      <c r="L52" s="46"/>
      <c r="M52" s="46"/>
      <c r="N52" s="46"/>
      <c r="O52" s="152" t="s">
        <v>111</v>
      </c>
      <c r="P52" s="146">
        <v>41883</v>
      </c>
      <c r="Q52" s="147">
        <f t="shared" ref="Q52:Q69" si="0">35798.88/19</f>
        <v>1884.1515789473683</v>
      </c>
      <c r="R52" s="112"/>
      <c r="S52" s="148">
        <v>41908</v>
      </c>
    </row>
    <row r="53" spans="1:19" ht="15" customHeight="1" x14ac:dyDescent="0.25">
      <c r="A53" s="22">
        <v>3</v>
      </c>
      <c r="B53" s="73" t="s">
        <v>5</v>
      </c>
      <c r="C53" s="144">
        <v>6</v>
      </c>
      <c r="D53" s="73">
        <v>3</v>
      </c>
      <c r="E53" s="175" t="s">
        <v>186</v>
      </c>
      <c r="F53" s="138">
        <v>41890</v>
      </c>
      <c r="G53" s="163">
        <f>5/C53</f>
        <v>0.83333333333333337</v>
      </c>
      <c r="H53" s="28" t="s">
        <v>75</v>
      </c>
      <c r="I53" s="15"/>
      <c r="J53" s="15"/>
      <c r="K53" s="15"/>
      <c r="L53" s="46"/>
      <c r="M53" s="46"/>
      <c r="N53" s="46"/>
      <c r="O53" s="152" t="s">
        <v>111</v>
      </c>
      <c r="P53" s="146">
        <v>41883</v>
      </c>
      <c r="Q53" s="147">
        <f t="shared" si="0"/>
        <v>1884.1515789473683</v>
      </c>
      <c r="R53" s="112"/>
      <c r="S53" s="148">
        <v>41908</v>
      </c>
    </row>
    <row r="54" spans="1:19" x14ac:dyDescent="0.25">
      <c r="A54" s="22">
        <v>4</v>
      </c>
      <c r="B54" s="73" t="s">
        <v>6</v>
      </c>
      <c r="C54" s="144">
        <v>60</v>
      </c>
      <c r="D54" s="73">
        <v>2</v>
      </c>
      <c r="E54" s="175" t="s">
        <v>180</v>
      </c>
      <c r="F54" s="138">
        <v>41890</v>
      </c>
      <c r="G54" s="163">
        <f>40/C54</f>
        <v>0.66666666666666663</v>
      </c>
      <c r="H54" s="74" t="s">
        <v>68</v>
      </c>
      <c r="I54" s="144" t="s">
        <v>78</v>
      </c>
      <c r="J54" s="145">
        <f>K54*3.4528</f>
        <v>1655049.4417600001</v>
      </c>
      <c r="K54" s="165">
        <v>479335.45</v>
      </c>
      <c r="L54" s="176">
        <v>42061</v>
      </c>
      <c r="M54" s="176">
        <v>42534</v>
      </c>
      <c r="N54" s="152"/>
      <c r="O54" s="152" t="s">
        <v>111</v>
      </c>
      <c r="P54" s="146">
        <v>41883</v>
      </c>
      <c r="Q54" s="147">
        <f t="shared" si="0"/>
        <v>1884.1515789473683</v>
      </c>
      <c r="R54" s="112"/>
      <c r="S54" s="148">
        <v>41908</v>
      </c>
    </row>
    <row r="55" spans="1:19" ht="15" customHeight="1" x14ac:dyDescent="0.25">
      <c r="A55" s="22">
        <v>5</v>
      </c>
      <c r="B55" s="42" t="s">
        <v>7</v>
      </c>
      <c r="C55" s="236">
        <v>45</v>
      </c>
      <c r="D55" s="42">
        <v>0</v>
      </c>
      <c r="E55" s="291" t="s">
        <v>190</v>
      </c>
      <c r="F55" s="292">
        <v>41890</v>
      </c>
      <c r="G55" s="262">
        <f>33/C55</f>
        <v>0.73333333333333328</v>
      </c>
      <c r="H55" s="237" t="s">
        <v>68</v>
      </c>
      <c r="I55" s="236" t="s">
        <v>228</v>
      </c>
      <c r="J55" s="252">
        <v>1986094.33</v>
      </c>
      <c r="K55" s="289">
        <f>J55/3.4528</f>
        <v>575212.67666821135</v>
      </c>
      <c r="L55" s="293">
        <v>42002</v>
      </c>
      <c r="M55" s="293">
        <v>42396</v>
      </c>
      <c r="N55" s="276" t="s">
        <v>68</v>
      </c>
      <c r="O55" s="276" t="s">
        <v>111</v>
      </c>
      <c r="P55" s="258">
        <v>41883</v>
      </c>
      <c r="Q55" s="249">
        <f t="shared" si="0"/>
        <v>1884.1515789473683</v>
      </c>
      <c r="R55" s="259"/>
      <c r="S55" s="257">
        <v>41908</v>
      </c>
    </row>
    <row r="56" spans="1:19" x14ac:dyDescent="0.25">
      <c r="A56" s="22">
        <v>6</v>
      </c>
      <c r="B56" s="42" t="s">
        <v>8</v>
      </c>
      <c r="C56" s="236">
        <v>60</v>
      </c>
      <c r="D56" s="42">
        <v>1</v>
      </c>
      <c r="E56" s="291" t="s">
        <v>184</v>
      </c>
      <c r="F56" s="292">
        <v>41891</v>
      </c>
      <c r="G56" s="262">
        <f>36/C56</f>
        <v>0.6</v>
      </c>
      <c r="H56" s="237" t="s">
        <v>68</v>
      </c>
      <c r="I56" s="236" t="s">
        <v>78</v>
      </c>
      <c r="J56" s="252">
        <f>K56*3.4528</f>
        <v>1724411.17</v>
      </c>
      <c r="K56" s="289">
        <f>1724411.17/3.4528</f>
        <v>499423.9950185357</v>
      </c>
      <c r="L56" s="293">
        <v>42002</v>
      </c>
      <c r="M56" s="293">
        <v>42402</v>
      </c>
      <c r="N56" s="276" t="s">
        <v>68</v>
      </c>
      <c r="O56" s="276" t="s">
        <v>111</v>
      </c>
      <c r="P56" s="258">
        <v>41883</v>
      </c>
      <c r="Q56" s="249">
        <f t="shared" si="0"/>
        <v>1884.1515789473683</v>
      </c>
      <c r="R56" s="259"/>
      <c r="S56" s="257">
        <v>41908</v>
      </c>
    </row>
    <row r="57" spans="1:19" x14ac:dyDescent="0.25">
      <c r="A57" s="22">
        <v>7</v>
      </c>
      <c r="B57" s="42" t="s">
        <v>9</v>
      </c>
      <c r="C57" s="236">
        <v>50</v>
      </c>
      <c r="D57" s="42">
        <v>4</v>
      </c>
      <c r="E57" s="291" t="s">
        <v>181</v>
      </c>
      <c r="F57" s="292">
        <v>41953</v>
      </c>
      <c r="G57" s="251">
        <f>33/C57</f>
        <v>0.66</v>
      </c>
      <c r="H57" s="236" t="s">
        <v>68</v>
      </c>
      <c r="I57" s="236" t="s">
        <v>224</v>
      </c>
      <c r="J57" s="252">
        <f>K57*3.4528</f>
        <v>1725704.709664</v>
      </c>
      <c r="K57" s="289">
        <v>499798.63</v>
      </c>
      <c r="L57" s="293">
        <v>42034</v>
      </c>
      <c r="M57" s="293">
        <v>42572</v>
      </c>
      <c r="N57" s="276" t="s">
        <v>68</v>
      </c>
      <c r="O57" s="276" t="s">
        <v>111</v>
      </c>
      <c r="P57" s="258">
        <v>41883</v>
      </c>
      <c r="Q57" s="249">
        <f t="shared" si="0"/>
        <v>1884.1515789473683</v>
      </c>
      <c r="R57" s="259"/>
      <c r="S57" s="257">
        <v>41908</v>
      </c>
    </row>
    <row r="58" spans="1:19" x14ac:dyDescent="0.25">
      <c r="A58" s="22">
        <v>8</v>
      </c>
      <c r="B58" s="42" t="s">
        <v>10</v>
      </c>
      <c r="C58" s="236">
        <v>50</v>
      </c>
      <c r="D58" s="42">
        <v>1</v>
      </c>
      <c r="E58" s="291" t="s">
        <v>176</v>
      </c>
      <c r="F58" s="292">
        <v>41891</v>
      </c>
      <c r="G58" s="262">
        <f>31/C58</f>
        <v>0.62</v>
      </c>
      <c r="H58" s="237" t="s">
        <v>68</v>
      </c>
      <c r="I58" s="236" t="s">
        <v>228</v>
      </c>
      <c r="J58" s="252">
        <f>K58*3.4528</f>
        <v>1547000.69</v>
      </c>
      <c r="K58" s="289">
        <f>1547000.69/3.4528</f>
        <v>448042.3685125116</v>
      </c>
      <c r="L58" s="293">
        <v>41995</v>
      </c>
      <c r="M58" s="293">
        <v>42563</v>
      </c>
      <c r="N58" s="276" t="s">
        <v>68</v>
      </c>
      <c r="O58" s="276" t="s">
        <v>111</v>
      </c>
      <c r="P58" s="258">
        <v>41883</v>
      </c>
      <c r="Q58" s="249">
        <f t="shared" si="0"/>
        <v>1884.1515789473683</v>
      </c>
      <c r="R58" s="259"/>
      <c r="S58" s="257">
        <v>41908</v>
      </c>
    </row>
    <row r="59" spans="1:19" x14ac:dyDescent="0.25">
      <c r="A59" s="22">
        <v>9</v>
      </c>
      <c r="B59" s="73" t="s">
        <v>11</v>
      </c>
      <c r="C59" s="144">
        <v>60</v>
      </c>
      <c r="D59" s="73">
        <v>4</v>
      </c>
      <c r="E59" s="175" t="s">
        <v>185</v>
      </c>
      <c r="F59" s="138">
        <v>41892</v>
      </c>
      <c r="G59" s="163">
        <f>36/C59</f>
        <v>0.6</v>
      </c>
      <c r="H59" s="74" t="s">
        <v>68</v>
      </c>
      <c r="I59" s="144" t="s">
        <v>78</v>
      </c>
      <c r="J59" s="145">
        <f>K59*3.4528</f>
        <v>1601316.7955199999</v>
      </c>
      <c r="K59" s="165">
        <v>463773.4</v>
      </c>
      <c r="L59" s="176">
        <v>42058</v>
      </c>
      <c r="M59" s="176">
        <v>42458</v>
      </c>
      <c r="N59" s="152"/>
      <c r="O59" s="152" t="s">
        <v>111</v>
      </c>
      <c r="P59" s="146">
        <v>41883</v>
      </c>
      <c r="Q59" s="147">
        <f t="shared" si="0"/>
        <v>1884.1515789473683</v>
      </c>
      <c r="R59" s="112"/>
      <c r="S59" s="148">
        <v>41908</v>
      </c>
    </row>
    <row r="60" spans="1:19" x14ac:dyDescent="0.25">
      <c r="A60" s="22">
        <v>10</v>
      </c>
      <c r="B60" s="73" t="s">
        <v>389</v>
      </c>
      <c r="C60" s="144">
        <v>20</v>
      </c>
      <c r="D60" s="73">
        <v>0</v>
      </c>
      <c r="E60" s="175" t="s">
        <v>193</v>
      </c>
      <c r="F60" s="138">
        <v>41892</v>
      </c>
      <c r="G60" s="27">
        <f>7/C60</f>
        <v>0.35</v>
      </c>
      <c r="H60" s="28" t="s">
        <v>202</v>
      </c>
      <c r="I60" s="15"/>
      <c r="J60" s="15"/>
      <c r="K60" s="15"/>
      <c r="L60" s="46"/>
      <c r="M60" s="46"/>
      <c r="N60" s="46"/>
      <c r="O60" s="152" t="s">
        <v>111</v>
      </c>
      <c r="P60" s="146">
        <v>41883</v>
      </c>
      <c r="Q60" s="147">
        <f t="shared" si="0"/>
        <v>1884.1515789473683</v>
      </c>
      <c r="R60" s="112"/>
      <c r="S60" s="148">
        <v>41908</v>
      </c>
    </row>
    <row r="61" spans="1:19" x14ac:dyDescent="0.25">
      <c r="A61" s="22">
        <v>11</v>
      </c>
      <c r="B61" s="42" t="s">
        <v>12</v>
      </c>
      <c r="C61" s="236">
        <v>45</v>
      </c>
      <c r="D61" s="42">
        <v>0</v>
      </c>
      <c r="E61" s="291" t="s">
        <v>191</v>
      </c>
      <c r="F61" s="292">
        <v>41912</v>
      </c>
      <c r="G61" s="262">
        <f>29/C61</f>
        <v>0.64444444444444449</v>
      </c>
      <c r="H61" s="237" t="s">
        <v>68</v>
      </c>
      <c r="I61" s="236" t="s">
        <v>174</v>
      </c>
      <c r="J61" s="252">
        <f>K61*3.4528</f>
        <v>1646839.8918399999</v>
      </c>
      <c r="K61" s="289">
        <v>476957.8</v>
      </c>
      <c r="L61" s="293">
        <v>42023</v>
      </c>
      <c r="M61" s="293">
        <v>42573</v>
      </c>
      <c r="N61" s="276" t="s">
        <v>68</v>
      </c>
      <c r="O61" s="276" t="s">
        <v>111</v>
      </c>
      <c r="P61" s="258">
        <v>41883</v>
      </c>
      <c r="Q61" s="249">
        <f t="shared" si="0"/>
        <v>1884.1515789473683</v>
      </c>
      <c r="R61" s="259"/>
      <c r="S61" s="257">
        <v>41908</v>
      </c>
    </row>
    <row r="62" spans="1:19" x14ac:dyDescent="0.25">
      <c r="A62" s="22">
        <v>12</v>
      </c>
      <c r="B62" s="42" t="s">
        <v>13</v>
      </c>
      <c r="C62" s="236">
        <v>8</v>
      </c>
      <c r="D62" s="42">
        <v>0</v>
      </c>
      <c r="E62" s="291" t="s">
        <v>179</v>
      </c>
      <c r="F62" s="292">
        <v>41912</v>
      </c>
      <c r="G62" s="262">
        <v>1</v>
      </c>
      <c r="H62" s="237" t="s">
        <v>68</v>
      </c>
      <c r="I62" s="236" t="s">
        <v>174</v>
      </c>
      <c r="J62" s="252">
        <f>K62*3.4528</f>
        <v>399387.82748799998</v>
      </c>
      <c r="K62" s="289">
        <v>115670.71</v>
      </c>
      <c r="L62" s="293">
        <v>42041</v>
      </c>
      <c r="M62" s="293">
        <v>42404</v>
      </c>
      <c r="N62" s="276" t="s">
        <v>68</v>
      </c>
      <c r="O62" s="276" t="s">
        <v>111</v>
      </c>
      <c r="P62" s="258">
        <v>41883</v>
      </c>
      <c r="Q62" s="249">
        <f t="shared" si="0"/>
        <v>1884.1515789473683</v>
      </c>
      <c r="R62" s="259"/>
      <c r="S62" s="257">
        <v>41908</v>
      </c>
    </row>
    <row r="63" spans="1:19" x14ac:dyDescent="0.25">
      <c r="A63" s="22">
        <v>13</v>
      </c>
      <c r="B63" s="73" t="s">
        <v>14</v>
      </c>
      <c r="C63" s="144">
        <v>60</v>
      </c>
      <c r="D63" s="73">
        <v>2</v>
      </c>
      <c r="E63" s="175" t="s">
        <v>194</v>
      </c>
      <c r="F63" s="138">
        <v>41926</v>
      </c>
      <c r="G63" s="163">
        <f>37/C63</f>
        <v>0.6166666666666667</v>
      </c>
      <c r="H63" s="74" t="s">
        <v>68</v>
      </c>
      <c r="I63" s="144" t="s">
        <v>228</v>
      </c>
      <c r="J63" s="145">
        <f>K63*3.4528</f>
        <v>1556951.3194560001</v>
      </c>
      <c r="K63" s="165">
        <v>450924.27</v>
      </c>
      <c r="L63" s="176">
        <v>42080</v>
      </c>
      <c r="M63" s="75">
        <v>42605</v>
      </c>
      <c r="N63" s="152"/>
      <c r="O63" s="152" t="s">
        <v>111</v>
      </c>
      <c r="P63" s="146">
        <v>41883</v>
      </c>
      <c r="Q63" s="147">
        <f t="shared" si="0"/>
        <v>1884.1515789473683</v>
      </c>
      <c r="R63" s="112"/>
      <c r="S63" s="148">
        <v>41908</v>
      </c>
    </row>
    <row r="64" spans="1:19" x14ac:dyDescent="0.25">
      <c r="A64" s="22">
        <v>14</v>
      </c>
      <c r="B64" s="73" t="s">
        <v>15</v>
      </c>
      <c r="C64" s="144">
        <v>75</v>
      </c>
      <c r="D64" s="73">
        <v>13</v>
      </c>
      <c r="E64" s="175" t="s">
        <v>189</v>
      </c>
      <c r="F64" s="138">
        <v>41898</v>
      </c>
      <c r="G64" s="27">
        <f>17/C64</f>
        <v>0.22666666666666666</v>
      </c>
      <c r="H64" s="28"/>
      <c r="I64" s="15"/>
      <c r="J64" s="15"/>
      <c r="K64" s="15"/>
      <c r="L64" s="46"/>
      <c r="M64" s="46"/>
      <c r="N64" s="46"/>
      <c r="O64" s="152" t="s">
        <v>111</v>
      </c>
      <c r="P64" s="146">
        <v>41883</v>
      </c>
      <c r="Q64" s="147">
        <f t="shared" si="0"/>
        <v>1884.1515789473683</v>
      </c>
      <c r="R64" s="112"/>
      <c r="S64" s="148">
        <v>41908</v>
      </c>
    </row>
    <row r="65" spans="1:19" x14ac:dyDescent="0.25">
      <c r="A65" s="22">
        <v>15</v>
      </c>
      <c r="B65" s="73" t="s">
        <v>16</v>
      </c>
      <c r="C65" s="144">
        <v>50</v>
      </c>
      <c r="D65" s="73">
        <v>1</v>
      </c>
      <c r="E65" s="175" t="s">
        <v>178</v>
      </c>
      <c r="F65" s="138">
        <v>42613</v>
      </c>
      <c r="G65" s="27">
        <f>18/C65</f>
        <v>0.36</v>
      </c>
      <c r="H65" s="28"/>
      <c r="I65" s="15"/>
      <c r="J65" s="15"/>
      <c r="K65" s="15"/>
      <c r="L65" s="46"/>
      <c r="M65" s="46"/>
      <c r="N65" s="46"/>
      <c r="O65" s="152" t="s">
        <v>111</v>
      </c>
      <c r="P65" s="146">
        <v>41883</v>
      </c>
      <c r="Q65" s="147">
        <f t="shared" si="0"/>
        <v>1884.1515789473683</v>
      </c>
      <c r="R65" s="112"/>
      <c r="S65" s="148">
        <v>41908</v>
      </c>
    </row>
    <row r="66" spans="1:19" x14ac:dyDescent="0.25">
      <c r="A66" s="22">
        <v>16</v>
      </c>
      <c r="B66" s="73" t="s">
        <v>17</v>
      </c>
      <c r="C66" s="144">
        <v>54</v>
      </c>
      <c r="D66" s="73">
        <v>1</v>
      </c>
      <c r="E66" s="175" t="s">
        <v>187</v>
      </c>
      <c r="F66" s="138">
        <v>41893</v>
      </c>
      <c r="G66" s="27">
        <f>16/C66</f>
        <v>0.29629629629629628</v>
      </c>
      <c r="H66" s="28"/>
      <c r="I66" s="15"/>
      <c r="J66" s="15"/>
      <c r="K66" s="15"/>
      <c r="L66" s="46"/>
      <c r="M66" s="46"/>
      <c r="N66" s="46"/>
      <c r="O66" s="152" t="s">
        <v>111</v>
      </c>
      <c r="P66" s="146">
        <v>41883</v>
      </c>
      <c r="Q66" s="147">
        <f t="shared" si="0"/>
        <v>1884.1515789473683</v>
      </c>
      <c r="R66" s="112"/>
      <c r="S66" s="148">
        <v>41908</v>
      </c>
    </row>
    <row r="67" spans="1:19" x14ac:dyDescent="0.25">
      <c r="A67" s="22">
        <v>17</v>
      </c>
      <c r="B67" s="73" t="s">
        <v>388</v>
      </c>
      <c r="C67" s="144">
        <v>75</v>
      </c>
      <c r="D67" s="73">
        <v>0</v>
      </c>
      <c r="E67" s="175" t="s">
        <v>188</v>
      </c>
      <c r="F67" s="138">
        <v>41939</v>
      </c>
      <c r="G67" s="143">
        <f>50/C67</f>
        <v>0.66666666666666663</v>
      </c>
      <c r="H67" s="74" t="s">
        <v>68</v>
      </c>
      <c r="I67" s="144" t="s">
        <v>228</v>
      </c>
      <c r="J67" s="145">
        <f>K67*3.4528</f>
        <v>1968156.5621120001</v>
      </c>
      <c r="K67" s="165">
        <v>570017.54</v>
      </c>
      <c r="L67" s="176">
        <v>42076</v>
      </c>
      <c r="M67" s="176">
        <v>42660</v>
      </c>
      <c r="N67" s="152"/>
      <c r="O67" s="152" t="s">
        <v>111</v>
      </c>
      <c r="P67" s="146">
        <v>41883</v>
      </c>
      <c r="Q67" s="147">
        <f t="shared" si="0"/>
        <v>1884.1515789473683</v>
      </c>
      <c r="R67" s="112"/>
      <c r="S67" s="148">
        <v>41908</v>
      </c>
    </row>
    <row r="68" spans="1:19" x14ac:dyDescent="0.25">
      <c r="A68" s="22">
        <v>18</v>
      </c>
      <c r="B68" s="73" t="s">
        <v>18</v>
      </c>
      <c r="C68" s="144">
        <v>80</v>
      </c>
      <c r="D68" s="73">
        <v>2</v>
      </c>
      <c r="E68" s="175" t="s">
        <v>177</v>
      </c>
      <c r="F68" s="138">
        <v>42613</v>
      </c>
      <c r="G68" s="27">
        <f>28/C68</f>
        <v>0.35</v>
      </c>
      <c r="H68" s="28"/>
      <c r="I68" s="15"/>
      <c r="J68" s="15"/>
      <c r="K68" s="15"/>
      <c r="L68" s="46"/>
      <c r="M68" s="46"/>
      <c r="N68" s="46"/>
      <c r="O68" s="152" t="s">
        <v>111</v>
      </c>
      <c r="P68" s="146">
        <v>41883</v>
      </c>
      <c r="Q68" s="147">
        <f t="shared" si="0"/>
        <v>1884.1515789473683</v>
      </c>
      <c r="R68" s="112"/>
      <c r="S68" s="148">
        <v>41908</v>
      </c>
    </row>
    <row r="69" spans="1:19" x14ac:dyDescent="0.25">
      <c r="A69" s="22">
        <v>19</v>
      </c>
      <c r="B69" s="42" t="s">
        <v>19</v>
      </c>
      <c r="C69" s="236">
        <v>60</v>
      </c>
      <c r="D69" s="42">
        <v>3</v>
      </c>
      <c r="E69" s="291" t="s">
        <v>182</v>
      </c>
      <c r="F69" s="292">
        <v>41897</v>
      </c>
      <c r="G69" s="251">
        <f>47/C69</f>
        <v>0.78333333333333333</v>
      </c>
      <c r="H69" s="237" t="s">
        <v>68</v>
      </c>
      <c r="I69" s="236" t="s">
        <v>78</v>
      </c>
      <c r="J69" s="252">
        <f>K69*3.4528</f>
        <v>1491060.49</v>
      </c>
      <c r="K69" s="289">
        <f>1491060.49/3.4528</f>
        <v>431840.96675162186</v>
      </c>
      <c r="L69" s="293">
        <v>42002</v>
      </c>
      <c r="M69" s="293">
        <v>42346</v>
      </c>
      <c r="N69" s="276" t="s">
        <v>68</v>
      </c>
      <c r="O69" s="276" t="s">
        <v>111</v>
      </c>
      <c r="P69" s="258">
        <v>41883</v>
      </c>
      <c r="Q69" s="255">
        <f t="shared" si="0"/>
        <v>1884.1515789473683</v>
      </c>
      <c r="R69" s="256"/>
      <c r="S69" s="257">
        <v>41908</v>
      </c>
    </row>
    <row r="70" spans="1:19" x14ac:dyDescent="0.25">
      <c r="A70" s="22">
        <v>20</v>
      </c>
      <c r="B70" s="42" t="s">
        <v>20</v>
      </c>
      <c r="C70" s="236">
        <v>54</v>
      </c>
      <c r="D70" s="42">
        <v>2</v>
      </c>
      <c r="E70" s="236" t="s">
        <v>153</v>
      </c>
      <c r="F70" s="292">
        <v>41764</v>
      </c>
      <c r="G70" s="251">
        <v>0.63</v>
      </c>
      <c r="H70" s="237" t="s">
        <v>68</v>
      </c>
      <c r="I70" s="236" t="s">
        <v>78</v>
      </c>
      <c r="J70" s="252">
        <f>K70*3.4528</f>
        <v>1478396.02</v>
      </c>
      <c r="K70" s="289">
        <f>1478396.02/3.4528</f>
        <v>428173.08271547733</v>
      </c>
      <c r="L70" s="253">
        <v>41862</v>
      </c>
      <c r="M70" s="253">
        <v>42396</v>
      </c>
      <c r="N70" s="276" t="s">
        <v>68</v>
      </c>
      <c r="O70" s="236" t="s">
        <v>167</v>
      </c>
      <c r="P70" s="258">
        <v>41865</v>
      </c>
      <c r="Q70" s="249">
        <v>1827.1</v>
      </c>
      <c r="R70" s="259"/>
      <c r="S70" s="257">
        <v>41914</v>
      </c>
    </row>
    <row r="71" spans="1:19" x14ac:dyDescent="0.25">
      <c r="A71" s="22">
        <v>21</v>
      </c>
      <c r="B71" s="73" t="s">
        <v>475</v>
      </c>
      <c r="C71" s="144">
        <v>53</v>
      </c>
      <c r="D71" s="73">
        <v>0</v>
      </c>
      <c r="E71" s="144" t="s">
        <v>124</v>
      </c>
      <c r="F71" s="138">
        <v>41765</v>
      </c>
      <c r="G71" s="143">
        <f>36/53</f>
        <v>0.67924528301886788</v>
      </c>
      <c r="H71" s="74" t="s">
        <v>68</v>
      </c>
      <c r="I71" s="73" t="s">
        <v>96</v>
      </c>
      <c r="J71" s="145">
        <v>1277722.56</v>
      </c>
      <c r="K71" s="165">
        <v>370054.03</v>
      </c>
      <c r="L71" s="75">
        <v>42166</v>
      </c>
      <c r="M71" s="75">
        <v>42661</v>
      </c>
      <c r="N71" s="144"/>
      <c r="O71" s="144" t="s">
        <v>167</v>
      </c>
      <c r="P71" s="146">
        <v>41865</v>
      </c>
      <c r="Q71" s="147">
        <v>1827.1</v>
      </c>
      <c r="S71" s="148">
        <v>41914</v>
      </c>
    </row>
    <row r="72" spans="1:19" x14ac:dyDescent="0.25">
      <c r="A72" s="22">
        <v>22</v>
      </c>
      <c r="B72" s="73" t="s">
        <v>65</v>
      </c>
      <c r="C72" s="144">
        <v>20</v>
      </c>
      <c r="D72" s="73">
        <v>0</v>
      </c>
      <c r="E72" s="144" t="s">
        <v>163</v>
      </c>
      <c r="F72" s="138">
        <v>41583</v>
      </c>
      <c r="G72" s="143">
        <f>SUM(12/20)</f>
        <v>0.6</v>
      </c>
      <c r="H72" s="74" t="s">
        <v>68</v>
      </c>
      <c r="I72" s="73" t="s">
        <v>99</v>
      </c>
      <c r="J72" s="145">
        <f>K72*3.4528</f>
        <v>589513.03</v>
      </c>
      <c r="K72" s="165">
        <f>589513.03/3.4528</f>
        <v>170734.77467562558</v>
      </c>
      <c r="L72" s="75">
        <v>41775</v>
      </c>
      <c r="M72" s="75">
        <v>42618</v>
      </c>
      <c r="N72" s="144"/>
      <c r="O72" s="144" t="s">
        <v>167</v>
      </c>
      <c r="P72" s="146">
        <v>42430</v>
      </c>
      <c r="Q72" s="147">
        <f>R72*3.4528</f>
        <v>818.00284799999997</v>
      </c>
      <c r="R72" s="160">
        <v>236.91</v>
      </c>
      <c r="S72" s="148">
        <v>42467</v>
      </c>
    </row>
    <row r="73" spans="1:19" x14ac:dyDescent="0.25">
      <c r="A73" s="22">
        <v>23</v>
      </c>
      <c r="B73" s="73" t="s">
        <v>66</v>
      </c>
      <c r="C73" s="144">
        <v>8</v>
      </c>
      <c r="D73" s="73">
        <v>0</v>
      </c>
      <c r="E73" s="144" t="s">
        <v>171</v>
      </c>
      <c r="F73" s="138">
        <v>41583</v>
      </c>
      <c r="G73" s="143">
        <f>SUM(8/8)</f>
        <v>1</v>
      </c>
      <c r="H73" s="74" t="s">
        <v>68</v>
      </c>
      <c r="I73" s="15"/>
      <c r="J73" s="15" t="s">
        <v>76</v>
      </c>
      <c r="K73" s="15"/>
      <c r="L73" s="15"/>
      <c r="M73" s="15"/>
      <c r="N73" s="15"/>
      <c r="O73" s="144" t="s">
        <v>77</v>
      </c>
      <c r="P73" s="146">
        <v>42270</v>
      </c>
      <c r="Q73" s="85">
        <f>R73*3.4528</f>
        <v>1258.4074879999998</v>
      </c>
      <c r="R73" s="160">
        <v>364.46</v>
      </c>
      <c r="S73" s="148"/>
    </row>
    <row r="74" spans="1:19" x14ac:dyDescent="0.25">
      <c r="A74" s="22">
        <v>24</v>
      </c>
      <c r="B74" s="73" t="s">
        <v>67</v>
      </c>
      <c r="C74" s="144">
        <v>4</v>
      </c>
      <c r="D74" s="73">
        <v>0</v>
      </c>
      <c r="E74" s="144" t="s">
        <v>172</v>
      </c>
      <c r="F74" s="138">
        <v>41583</v>
      </c>
      <c r="G74" s="143">
        <f>SUM(4/4)</f>
        <v>1</v>
      </c>
      <c r="H74" s="74" t="s">
        <v>68</v>
      </c>
      <c r="I74" s="15"/>
      <c r="J74" s="15" t="s">
        <v>76</v>
      </c>
      <c r="K74" s="15"/>
      <c r="L74" s="15"/>
      <c r="M74" s="15"/>
      <c r="N74" s="15"/>
      <c r="O74" s="144" t="s">
        <v>77</v>
      </c>
      <c r="P74" s="146">
        <v>42270</v>
      </c>
      <c r="Q74" s="85">
        <f>R74*3.4528</f>
        <v>1258.4074879999998</v>
      </c>
      <c r="R74" s="160">
        <v>364.46</v>
      </c>
      <c r="S74" s="159"/>
    </row>
    <row r="75" spans="1:19" x14ac:dyDescent="0.25">
      <c r="A75" s="22">
        <v>25</v>
      </c>
      <c r="B75" s="73" t="s">
        <v>21</v>
      </c>
      <c r="C75" s="144">
        <v>36</v>
      </c>
      <c r="D75" s="73">
        <v>0</v>
      </c>
      <c r="E75" s="144" t="s">
        <v>113</v>
      </c>
      <c r="F75" s="138">
        <v>41820</v>
      </c>
      <c r="G75" s="51" t="s">
        <v>72</v>
      </c>
      <c r="H75" s="28"/>
      <c r="I75" s="15"/>
      <c r="J75" s="15"/>
      <c r="K75" s="15"/>
      <c r="L75" s="15"/>
      <c r="M75" s="15"/>
      <c r="N75" s="15"/>
      <c r="O75" s="144" t="s">
        <v>77</v>
      </c>
      <c r="P75" s="158"/>
      <c r="Q75" s="85"/>
      <c r="R75" s="160"/>
      <c r="S75" s="159"/>
    </row>
    <row r="76" spans="1:19" x14ac:dyDescent="0.25">
      <c r="A76" s="22">
        <v>26</v>
      </c>
      <c r="B76" s="42" t="s">
        <v>22</v>
      </c>
      <c r="C76" s="236">
        <v>75</v>
      </c>
      <c r="D76" s="42">
        <v>2</v>
      </c>
      <c r="E76" s="236" t="s">
        <v>151</v>
      </c>
      <c r="F76" s="292">
        <v>41764</v>
      </c>
      <c r="G76" s="251">
        <f>47/75</f>
        <v>0.62666666666666671</v>
      </c>
      <c r="H76" s="237" t="s">
        <v>68</v>
      </c>
      <c r="I76" s="236" t="s">
        <v>228</v>
      </c>
      <c r="J76" s="252">
        <v>1878047.32</v>
      </c>
      <c r="K76" s="289">
        <f>J76/3.4528</f>
        <v>543920.09962928644</v>
      </c>
      <c r="L76" s="253">
        <v>41848</v>
      </c>
      <c r="M76" s="253">
        <v>42361</v>
      </c>
      <c r="N76" s="236" t="s">
        <v>68</v>
      </c>
      <c r="O76" s="236" t="s">
        <v>167</v>
      </c>
      <c r="P76" s="258">
        <v>41865</v>
      </c>
      <c r="Q76" s="249">
        <v>1827.1</v>
      </c>
      <c r="R76" s="259"/>
      <c r="S76" s="257">
        <v>41914</v>
      </c>
    </row>
    <row r="77" spans="1:19" ht="15.75" thickBot="1" x14ac:dyDescent="0.3">
      <c r="A77" s="39">
        <v>27</v>
      </c>
      <c r="B77" s="43" t="s">
        <v>23</v>
      </c>
      <c r="C77" s="239">
        <v>30</v>
      </c>
      <c r="D77" s="43">
        <v>0</v>
      </c>
      <c r="E77" s="239" t="s">
        <v>148</v>
      </c>
      <c r="F77" s="265">
        <v>41765</v>
      </c>
      <c r="G77" s="266">
        <f>19/30</f>
        <v>0.6333333333333333</v>
      </c>
      <c r="H77" s="240" t="s">
        <v>68</v>
      </c>
      <c r="I77" s="267" t="s">
        <v>174</v>
      </c>
      <c r="J77" s="267">
        <f>K77*3.4528</f>
        <v>771145.1</v>
      </c>
      <c r="K77" s="267">
        <f>771145.1/3.4528</f>
        <v>223339.05815569972</v>
      </c>
      <c r="L77" s="268">
        <v>41862</v>
      </c>
      <c r="M77" s="268">
        <v>42283</v>
      </c>
      <c r="N77" s="268" t="s">
        <v>68</v>
      </c>
      <c r="O77" s="239" t="s">
        <v>167</v>
      </c>
      <c r="P77" s="269">
        <v>41865</v>
      </c>
      <c r="Q77" s="270">
        <v>1827.1</v>
      </c>
      <c r="R77" s="271"/>
      <c r="S77" s="272">
        <v>41914</v>
      </c>
    </row>
    <row r="78" spans="1:19" s="33" customFormat="1" x14ac:dyDescent="0.25">
      <c r="A78" s="48"/>
      <c r="B78" s="49" t="s">
        <v>110</v>
      </c>
      <c r="C78" s="33">
        <f>SUM(C51:C77)</f>
        <v>1191</v>
      </c>
      <c r="D78" s="33">
        <f>SUM(D51:D77)</f>
        <v>41</v>
      </c>
      <c r="E78" s="47"/>
      <c r="F78" s="54"/>
      <c r="G78" s="47">
        <f>COUNTIF(G51:G77,"&gt;0,5")</f>
        <v>19</v>
      </c>
      <c r="H78" s="47">
        <f>COUNTIF(H51:H77,"Taip")</f>
        <v>18</v>
      </c>
      <c r="I78" s="47">
        <f>COUNTA(I51:I77)</f>
        <v>16</v>
      </c>
      <c r="J78" s="52">
        <f>SUM(J51:J77)</f>
        <v>23296797.25784</v>
      </c>
      <c r="K78" s="52">
        <f>SUM(K51:K77)</f>
        <v>6747218.85212697</v>
      </c>
      <c r="L78" s="47"/>
      <c r="M78" s="47">
        <f>COUNTA(M51:M77)</f>
        <v>16</v>
      </c>
      <c r="N78" s="47">
        <f>COUNTA(N51:N77)</f>
        <v>10</v>
      </c>
      <c r="O78" s="47"/>
    </row>
    <row r="79" spans="1:19" ht="16.5" thickBot="1" x14ac:dyDescent="0.3">
      <c r="A79" s="485" t="s">
        <v>233</v>
      </c>
      <c r="B79" s="485"/>
    </row>
    <row r="80" spans="1:19" ht="44.25" customHeight="1" thickBot="1" x14ac:dyDescent="0.3">
      <c r="A80" s="36" t="s">
        <v>0</v>
      </c>
      <c r="B80" s="37" t="s">
        <v>1</v>
      </c>
      <c r="C80" s="53" t="s">
        <v>94</v>
      </c>
      <c r="D80" s="53" t="s">
        <v>95</v>
      </c>
      <c r="E80" s="53" t="s">
        <v>102</v>
      </c>
      <c r="F80" s="40" t="s">
        <v>2</v>
      </c>
      <c r="G80" s="53" t="s">
        <v>69</v>
      </c>
      <c r="H80" s="53" t="s">
        <v>3</v>
      </c>
      <c r="I80" s="53" t="s">
        <v>73</v>
      </c>
      <c r="J80" s="53" t="s">
        <v>226</v>
      </c>
      <c r="K80" s="53" t="s">
        <v>225</v>
      </c>
      <c r="L80" s="53" t="s">
        <v>108</v>
      </c>
      <c r="M80" s="53" t="s">
        <v>243</v>
      </c>
      <c r="N80" s="53" t="s">
        <v>381</v>
      </c>
      <c r="O80" s="19" t="s">
        <v>74</v>
      </c>
      <c r="P80" s="20" t="s">
        <v>170</v>
      </c>
      <c r="Q80" s="113" t="s">
        <v>223</v>
      </c>
      <c r="R80" s="53" t="s">
        <v>247</v>
      </c>
      <c r="S80" s="20" t="s">
        <v>169</v>
      </c>
    </row>
    <row r="81" spans="1:19" x14ac:dyDescent="0.25">
      <c r="A81" s="41">
        <v>1</v>
      </c>
      <c r="B81" s="103" t="s">
        <v>70</v>
      </c>
      <c r="C81" s="153">
        <v>75</v>
      </c>
      <c r="D81" s="103">
        <v>1</v>
      </c>
      <c r="E81" s="190" t="s">
        <v>198</v>
      </c>
      <c r="F81" s="191">
        <v>42618</v>
      </c>
      <c r="G81" s="68">
        <f>16/C81</f>
        <v>0.21333333333333335</v>
      </c>
      <c r="H81" s="70"/>
      <c r="I81" s="277"/>
      <c r="J81" s="71"/>
      <c r="K81" s="70"/>
      <c r="L81" s="72"/>
      <c r="M81" s="72"/>
      <c r="N81" s="72"/>
      <c r="O81" s="103" t="s">
        <v>77</v>
      </c>
      <c r="P81" s="181"/>
      <c r="Q81" s="182"/>
      <c r="R81" s="183"/>
      <c r="S81" s="184"/>
    </row>
    <row r="82" spans="1:19" x14ac:dyDescent="0.25">
      <c r="A82" s="42">
        <v>2</v>
      </c>
      <c r="B82" s="42" t="s">
        <v>71</v>
      </c>
      <c r="C82" s="236">
        <v>48</v>
      </c>
      <c r="D82" s="42">
        <v>0</v>
      </c>
      <c r="E82" s="302" t="s">
        <v>195</v>
      </c>
      <c r="F82" s="253">
        <v>41905</v>
      </c>
      <c r="G82" s="303">
        <f>27/C82</f>
        <v>0.5625</v>
      </c>
      <c r="H82" s="237" t="s">
        <v>68</v>
      </c>
      <c r="I82" s="236" t="s">
        <v>96</v>
      </c>
      <c r="J82" s="252">
        <f>K82*3.4528</f>
        <v>1331488.8400000001</v>
      </c>
      <c r="K82" s="304">
        <f>1331488.84/3.4528</f>
        <v>385625.82252085267</v>
      </c>
      <c r="L82" s="292">
        <v>41995</v>
      </c>
      <c r="M82" s="292">
        <v>42361</v>
      </c>
      <c r="N82" s="276" t="s">
        <v>68</v>
      </c>
      <c r="O82" s="42" t="s">
        <v>167</v>
      </c>
      <c r="P82" s="258">
        <v>41956</v>
      </c>
      <c r="Q82" s="125">
        <v>1881.01</v>
      </c>
      <c r="R82" s="259">
        <f>Q82/3.4528</f>
        <v>544.77815106580169</v>
      </c>
      <c r="S82" s="257">
        <v>42034</v>
      </c>
    </row>
    <row r="83" spans="1:19" x14ac:dyDescent="0.25">
      <c r="A83" s="42">
        <v>3</v>
      </c>
      <c r="B83" s="73" t="s">
        <v>203</v>
      </c>
      <c r="C83" s="144">
        <v>45</v>
      </c>
      <c r="D83" s="73">
        <v>0</v>
      </c>
      <c r="E83" s="190" t="s">
        <v>165</v>
      </c>
      <c r="F83" s="75">
        <v>42614</v>
      </c>
      <c r="G83" s="62">
        <f>22/C83</f>
        <v>0.48888888888888887</v>
      </c>
      <c r="H83" s="28"/>
      <c r="I83" s="15"/>
      <c r="J83" s="63"/>
      <c r="K83" s="28"/>
      <c r="L83" s="63"/>
      <c r="M83" s="63"/>
      <c r="N83" s="63"/>
      <c r="O83" s="73" t="s">
        <v>77</v>
      </c>
      <c r="P83" s="146"/>
      <c r="Q83" s="85"/>
      <c r="R83" s="112"/>
      <c r="S83" s="159"/>
    </row>
    <row r="84" spans="1:19" x14ac:dyDescent="0.25">
      <c r="A84" s="42">
        <v>4</v>
      </c>
      <c r="B84" s="73" t="s">
        <v>79</v>
      </c>
      <c r="C84" s="144">
        <v>45</v>
      </c>
      <c r="D84" s="73">
        <v>4</v>
      </c>
      <c r="E84" s="144" t="s">
        <v>161</v>
      </c>
      <c r="F84" s="75">
        <v>42327</v>
      </c>
      <c r="G84" s="186">
        <f>36/C84</f>
        <v>0.8</v>
      </c>
      <c r="H84" s="74" t="s">
        <v>68</v>
      </c>
      <c r="I84" s="144" t="s">
        <v>378</v>
      </c>
      <c r="J84" s="145">
        <f t="shared" ref="J84:J89" si="1">K84*3.4528</f>
        <v>933423.73696000001</v>
      </c>
      <c r="K84" s="187">
        <v>270338.2</v>
      </c>
      <c r="L84" s="138">
        <v>42269</v>
      </c>
      <c r="M84" s="73"/>
      <c r="N84" s="73"/>
      <c r="O84" s="73" t="s">
        <v>167</v>
      </c>
      <c r="P84" s="146">
        <v>41956</v>
      </c>
      <c r="Q84" s="85">
        <v>1881.01</v>
      </c>
      <c r="R84" s="112">
        <f>Q84/3.4528</f>
        <v>544.77815106580169</v>
      </c>
      <c r="S84" s="148">
        <v>42037</v>
      </c>
    </row>
    <row r="85" spans="1:19" x14ac:dyDescent="0.25">
      <c r="A85" s="42">
        <v>5</v>
      </c>
      <c r="B85" s="73" t="s">
        <v>87</v>
      </c>
      <c r="C85" s="144">
        <v>45</v>
      </c>
      <c r="D85" s="73">
        <v>1</v>
      </c>
      <c r="E85" s="190" t="s">
        <v>204</v>
      </c>
      <c r="F85" s="75">
        <v>41969</v>
      </c>
      <c r="G85" s="186">
        <f>25/C85</f>
        <v>0.55555555555555558</v>
      </c>
      <c r="H85" s="74" t="s">
        <v>68</v>
      </c>
      <c r="I85" s="144" t="s">
        <v>96</v>
      </c>
      <c r="J85" s="145">
        <f t="shared" si="1"/>
        <v>1096706.1310399999</v>
      </c>
      <c r="K85" s="187">
        <v>317628.05</v>
      </c>
      <c r="L85" s="188">
        <v>42087</v>
      </c>
      <c r="M85" s="188">
        <v>42607</v>
      </c>
      <c r="N85" s="102"/>
      <c r="O85" s="73" t="s">
        <v>167</v>
      </c>
      <c r="P85" s="146">
        <v>41991</v>
      </c>
      <c r="Q85" s="85">
        <v>1879.11</v>
      </c>
      <c r="R85" s="112">
        <f>Q85/3.4528</f>
        <v>544.22787303058385</v>
      </c>
      <c r="S85" s="148">
        <v>42132</v>
      </c>
    </row>
    <row r="86" spans="1:19" x14ac:dyDescent="0.25">
      <c r="A86" s="42">
        <v>6</v>
      </c>
      <c r="B86" s="73" t="s">
        <v>80</v>
      </c>
      <c r="C86" s="144">
        <v>30</v>
      </c>
      <c r="D86" s="73">
        <v>0</v>
      </c>
      <c r="E86" s="190" t="s">
        <v>196</v>
      </c>
      <c r="F86" s="75">
        <v>41905</v>
      </c>
      <c r="G86" s="186">
        <f>20/C86</f>
        <v>0.66666666666666663</v>
      </c>
      <c r="H86" s="74" t="s">
        <v>68</v>
      </c>
      <c r="I86" s="144" t="s">
        <v>377</v>
      </c>
      <c r="J86" s="145">
        <f t="shared" si="1"/>
        <v>668712.75327999995</v>
      </c>
      <c r="K86" s="187">
        <v>193672.6</v>
      </c>
      <c r="L86" s="138">
        <v>42264</v>
      </c>
      <c r="M86" s="73"/>
      <c r="N86" s="73"/>
      <c r="O86" s="73" t="s">
        <v>167</v>
      </c>
      <c r="P86" s="146">
        <v>41956</v>
      </c>
      <c r="Q86" s="85">
        <v>1880.99</v>
      </c>
      <c r="R86" s="112">
        <f>Q86/3.4528</f>
        <v>544.77235866543094</v>
      </c>
      <c r="S86" s="148">
        <v>42034</v>
      </c>
    </row>
    <row r="87" spans="1:19" x14ac:dyDescent="0.25">
      <c r="A87" s="42">
        <v>7</v>
      </c>
      <c r="B87" s="73" t="s">
        <v>81</v>
      </c>
      <c r="C87" s="144">
        <v>75</v>
      </c>
      <c r="D87" s="73">
        <v>1</v>
      </c>
      <c r="E87" s="190" t="s">
        <v>200</v>
      </c>
      <c r="F87" s="75">
        <v>41906</v>
      </c>
      <c r="G87" s="186">
        <f>46/C87</f>
        <v>0.61333333333333329</v>
      </c>
      <c r="H87" s="74" t="s">
        <v>68</v>
      </c>
      <c r="I87" s="144" t="s">
        <v>96</v>
      </c>
      <c r="J87" s="145">
        <f t="shared" si="1"/>
        <v>2011245.0891519999</v>
      </c>
      <c r="K87" s="187">
        <v>582496.84</v>
      </c>
      <c r="L87" s="138">
        <v>42026</v>
      </c>
      <c r="M87" s="138">
        <v>42573</v>
      </c>
      <c r="N87" s="73"/>
      <c r="O87" s="73" t="s">
        <v>167</v>
      </c>
      <c r="P87" s="146">
        <v>41956</v>
      </c>
      <c r="Q87" s="85">
        <v>1880.99</v>
      </c>
      <c r="R87" s="85">
        <v>544.77</v>
      </c>
      <c r="S87" s="148">
        <v>42034</v>
      </c>
    </row>
    <row r="88" spans="1:19" x14ac:dyDescent="0.25">
      <c r="A88" s="42">
        <v>8</v>
      </c>
      <c r="B88" s="73" t="s">
        <v>82</v>
      </c>
      <c r="C88" s="144">
        <v>45</v>
      </c>
      <c r="D88" s="73">
        <v>0</v>
      </c>
      <c r="E88" s="144" t="s">
        <v>164</v>
      </c>
      <c r="F88" s="75">
        <v>42431</v>
      </c>
      <c r="G88" s="186">
        <f>31/45</f>
        <v>0.68888888888888888</v>
      </c>
      <c r="H88" s="74" t="s">
        <v>68</v>
      </c>
      <c r="I88" s="144" t="s">
        <v>96</v>
      </c>
      <c r="J88" s="145">
        <f t="shared" si="1"/>
        <v>956995.38105600001</v>
      </c>
      <c r="K88" s="187">
        <v>277165.02</v>
      </c>
      <c r="L88" s="138">
        <v>42513</v>
      </c>
      <c r="M88" s="73"/>
      <c r="N88" s="73"/>
      <c r="O88" s="73" t="s">
        <v>167</v>
      </c>
      <c r="P88" s="146">
        <v>42464</v>
      </c>
      <c r="Q88" s="147">
        <f>R88*3.4528</f>
        <v>1880.9818559999999</v>
      </c>
      <c r="R88" s="33">
        <v>544.77</v>
      </c>
      <c r="S88" s="148">
        <v>42515</v>
      </c>
    </row>
    <row r="89" spans="1:19" x14ac:dyDescent="0.25">
      <c r="A89" s="42">
        <v>9</v>
      </c>
      <c r="B89" s="73" t="s">
        <v>83</v>
      </c>
      <c r="C89" s="144">
        <v>45</v>
      </c>
      <c r="D89" s="73">
        <v>3</v>
      </c>
      <c r="E89" s="144" t="s">
        <v>162</v>
      </c>
      <c r="F89" s="75">
        <v>41857</v>
      </c>
      <c r="G89" s="186">
        <f>29/C89</f>
        <v>0.64444444444444449</v>
      </c>
      <c r="H89" s="74" t="s">
        <v>68</v>
      </c>
      <c r="I89" s="144" t="s">
        <v>174</v>
      </c>
      <c r="J89" s="145">
        <f t="shared" si="1"/>
        <v>1100517.5388479999</v>
      </c>
      <c r="K89" s="187">
        <v>318731.90999999997</v>
      </c>
      <c r="L89" s="138">
        <v>42046</v>
      </c>
      <c r="M89" s="138">
        <v>42647</v>
      </c>
      <c r="N89" s="73"/>
      <c r="O89" s="73" t="s">
        <v>167</v>
      </c>
      <c r="P89" s="146">
        <v>41956</v>
      </c>
      <c r="Q89" s="85">
        <v>1881.01</v>
      </c>
      <c r="R89" s="85">
        <v>544.78</v>
      </c>
      <c r="S89" s="148">
        <v>42135</v>
      </c>
    </row>
    <row r="90" spans="1:19" s="2" customFormat="1" x14ac:dyDescent="0.25">
      <c r="A90" s="42">
        <v>10</v>
      </c>
      <c r="B90" s="73" t="s">
        <v>84</v>
      </c>
      <c r="C90" s="144">
        <v>54</v>
      </c>
      <c r="D90" s="73">
        <v>0</v>
      </c>
      <c r="E90" s="190" t="s">
        <v>205</v>
      </c>
      <c r="F90" s="192">
        <v>42619</v>
      </c>
      <c r="G90" s="62">
        <f>19/C90</f>
        <v>0.35185185185185186</v>
      </c>
      <c r="H90" s="32"/>
      <c r="I90" s="278"/>
      <c r="J90" s="66"/>
      <c r="K90" s="32"/>
      <c r="L90" s="66"/>
      <c r="M90" s="66"/>
      <c r="N90" s="66"/>
      <c r="O90" s="73" t="s">
        <v>77</v>
      </c>
      <c r="P90" s="158"/>
      <c r="Q90" s="85"/>
      <c r="R90" s="160"/>
      <c r="S90" s="159"/>
    </row>
    <row r="91" spans="1:19" s="2" customFormat="1" x14ac:dyDescent="0.25">
      <c r="A91" s="42">
        <v>11</v>
      </c>
      <c r="B91" s="73" t="s">
        <v>85</v>
      </c>
      <c r="C91" s="144">
        <v>45</v>
      </c>
      <c r="D91" s="73">
        <v>0</v>
      </c>
      <c r="E91" s="144" t="s">
        <v>160</v>
      </c>
      <c r="F91" s="192">
        <v>42039</v>
      </c>
      <c r="G91" s="186">
        <f>27/C91</f>
        <v>0.6</v>
      </c>
      <c r="H91" s="164" t="s">
        <v>68</v>
      </c>
      <c r="I91" s="144" t="s">
        <v>235</v>
      </c>
      <c r="J91" s="145">
        <f>K91*3.4528</f>
        <v>1359735.4284799998</v>
      </c>
      <c r="K91" s="187">
        <v>393806.6</v>
      </c>
      <c r="L91" s="189">
        <v>42136</v>
      </c>
      <c r="M91" s="189">
        <v>42669</v>
      </c>
      <c r="N91" s="77"/>
      <c r="O91" s="73" t="s">
        <v>167</v>
      </c>
      <c r="P91" s="146">
        <v>42270</v>
      </c>
      <c r="Q91" s="147">
        <f>R91*3.4528</f>
        <v>1880.9818559999999</v>
      </c>
      <c r="R91" s="160">
        <v>544.77</v>
      </c>
      <c r="S91" s="148">
        <v>42346</v>
      </c>
    </row>
    <row r="92" spans="1:19" s="2" customFormat="1" x14ac:dyDescent="0.25">
      <c r="A92" s="42">
        <v>12</v>
      </c>
      <c r="B92" s="73" t="s">
        <v>86</v>
      </c>
      <c r="C92" s="144">
        <v>60</v>
      </c>
      <c r="D92" s="73">
        <v>4</v>
      </c>
      <c r="E92" s="190" t="s">
        <v>207</v>
      </c>
      <c r="F92" s="192">
        <v>42046</v>
      </c>
      <c r="G92" s="186">
        <f>35/C92</f>
        <v>0.58333333333333337</v>
      </c>
      <c r="H92" s="164" t="s">
        <v>68</v>
      </c>
      <c r="I92" s="144" t="s">
        <v>235</v>
      </c>
      <c r="J92" s="145">
        <f>K92*3.4528</f>
        <v>1571533.4606399999</v>
      </c>
      <c r="K92" s="187">
        <v>455147.55</v>
      </c>
      <c r="L92" s="189">
        <v>42209</v>
      </c>
      <c r="M92" s="77"/>
      <c r="N92" s="77"/>
      <c r="O92" s="73" t="s">
        <v>167</v>
      </c>
      <c r="P92" s="146">
        <v>42270</v>
      </c>
      <c r="Q92" s="147">
        <f>R92*3.4528</f>
        <v>1879.0828160000001</v>
      </c>
      <c r="R92" s="160">
        <v>544.22</v>
      </c>
      <c r="S92" s="148">
        <v>42346</v>
      </c>
    </row>
    <row r="93" spans="1:19" s="2" customFormat="1" x14ac:dyDescent="0.25">
      <c r="A93" s="42">
        <v>13</v>
      </c>
      <c r="B93" s="73" t="s">
        <v>88</v>
      </c>
      <c r="C93" s="144">
        <v>40</v>
      </c>
      <c r="D93" s="73">
        <v>7</v>
      </c>
      <c r="E93" s="190" t="s">
        <v>201</v>
      </c>
      <c r="F93" s="192">
        <v>41907</v>
      </c>
      <c r="G93" s="186">
        <f>24/C93</f>
        <v>0.6</v>
      </c>
      <c r="H93" s="164" t="s">
        <v>68</v>
      </c>
      <c r="I93" s="198" t="s">
        <v>230</v>
      </c>
      <c r="J93" s="145">
        <f>K93*3.4528</f>
        <v>1397231.9042239999</v>
      </c>
      <c r="K93" s="187">
        <v>404666.33</v>
      </c>
      <c r="L93" s="189">
        <v>42090</v>
      </c>
      <c r="M93" s="189">
        <v>42585</v>
      </c>
      <c r="N93" s="77"/>
      <c r="O93" s="73" t="s">
        <v>167</v>
      </c>
      <c r="P93" s="146">
        <v>41956</v>
      </c>
      <c r="Q93" s="85">
        <v>1880.99</v>
      </c>
      <c r="R93" s="112">
        <f>Q93/3.4528</f>
        <v>544.77235866543094</v>
      </c>
      <c r="S93" s="148">
        <v>42034</v>
      </c>
    </row>
    <row r="94" spans="1:19" s="2" customFormat="1" x14ac:dyDescent="0.25">
      <c r="A94" s="42">
        <v>14</v>
      </c>
      <c r="B94" s="73" t="s">
        <v>89</v>
      </c>
      <c r="C94" s="144">
        <v>54</v>
      </c>
      <c r="D94" s="73">
        <v>0</v>
      </c>
      <c r="E94" s="190" t="s">
        <v>197</v>
      </c>
      <c r="F94" s="192">
        <v>42618</v>
      </c>
      <c r="G94" s="62">
        <f>12/C94</f>
        <v>0.22222222222222221</v>
      </c>
      <c r="H94" s="32"/>
      <c r="I94" s="278"/>
      <c r="J94" s="66"/>
      <c r="K94" s="32"/>
      <c r="L94" s="66"/>
      <c r="M94" s="66"/>
      <c r="N94" s="66"/>
      <c r="O94" s="73" t="s">
        <v>77</v>
      </c>
      <c r="P94" s="158"/>
      <c r="Q94" s="85"/>
      <c r="R94" s="160"/>
      <c r="S94" s="159"/>
    </row>
    <row r="95" spans="1:19" s="2" customFormat="1" x14ac:dyDescent="0.25">
      <c r="A95" s="42">
        <v>15</v>
      </c>
      <c r="B95" s="73" t="s">
        <v>90</v>
      </c>
      <c r="C95" s="144">
        <v>75</v>
      </c>
      <c r="D95" s="73">
        <v>2</v>
      </c>
      <c r="E95" s="190" t="s">
        <v>206</v>
      </c>
      <c r="F95" s="192">
        <v>42619</v>
      </c>
      <c r="G95" s="62">
        <f>29/C95</f>
        <v>0.38666666666666666</v>
      </c>
      <c r="H95" s="32"/>
      <c r="I95" s="278"/>
      <c r="J95" s="66"/>
      <c r="K95" s="32"/>
      <c r="L95" s="66"/>
      <c r="M95" s="66"/>
      <c r="N95" s="66"/>
      <c r="O95" s="73" t="s">
        <v>77</v>
      </c>
      <c r="P95" s="158"/>
      <c r="Q95" s="85"/>
      <c r="R95" s="160"/>
      <c r="S95" s="159"/>
    </row>
    <row r="96" spans="1:19" x14ac:dyDescent="0.25">
      <c r="A96" s="42">
        <v>16</v>
      </c>
      <c r="B96" s="73" t="s">
        <v>91</v>
      </c>
      <c r="C96" s="144">
        <v>45</v>
      </c>
      <c r="D96" s="73">
        <v>2</v>
      </c>
      <c r="E96" s="73" t="s">
        <v>158</v>
      </c>
      <c r="F96" s="128">
        <v>42619</v>
      </c>
      <c r="G96" s="62">
        <f>22/C96</f>
        <v>0.48888888888888887</v>
      </c>
      <c r="H96" s="63"/>
      <c r="I96" s="28"/>
      <c r="J96" s="63"/>
      <c r="K96" s="28"/>
      <c r="L96" s="63"/>
      <c r="M96" s="63"/>
      <c r="N96" s="63"/>
      <c r="O96" s="73" t="s">
        <v>77</v>
      </c>
      <c r="P96" s="158"/>
      <c r="Q96" s="85"/>
      <c r="R96" s="160"/>
      <c r="S96" s="159"/>
    </row>
    <row r="97" spans="1:19" x14ac:dyDescent="0.25">
      <c r="A97" s="42">
        <v>17</v>
      </c>
      <c r="B97" s="73" t="s">
        <v>92</v>
      </c>
      <c r="C97" s="144">
        <v>30</v>
      </c>
      <c r="D97" s="73">
        <v>1</v>
      </c>
      <c r="E97" s="193" t="s">
        <v>173</v>
      </c>
      <c r="F97" s="128">
        <v>42620</v>
      </c>
      <c r="G97" s="186">
        <f>18/C97</f>
        <v>0.6</v>
      </c>
      <c r="H97" s="73"/>
      <c r="I97" s="74"/>
      <c r="J97" s="73"/>
      <c r="K97" s="74"/>
      <c r="L97" s="73"/>
      <c r="M97" s="73"/>
      <c r="N97" s="73"/>
      <c r="O97" s="73" t="s">
        <v>77</v>
      </c>
      <c r="P97" s="158"/>
      <c r="Q97" s="85"/>
      <c r="R97" s="160"/>
      <c r="S97" s="159"/>
    </row>
    <row r="98" spans="1:19" x14ac:dyDescent="0.25">
      <c r="A98" s="42">
        <v>18</v>
      </c>
      <c r="B98" s="73" t="s">
        <v>93</v>
      </c>
      <c r="C98" s="144">
        <v>40</v>
      </c>
      <c r="D98" s="73">
        <v>0</v>
      </c>
      <c r="E98" s="193" t="s">
        <v>208</v>
      </c>
      <c r="F98" s="128">
        <v>41942</v>
      </c>
      <c r="G98" s="186">
        <f>23/C98</f>
        <v>0.57499999999999996</v>
      </c>
      <c r="H98" s="73" t="s">
        <v>68</v>
      </c>
      <c r="I98" s="232" t="s">
        <v>424</v>
      </c>
      <c r="J98" s="145">
        <f>K98*3.4528</f>
        <v>755061.34246399999</v>
      </c>
      <c r="K98" s="187">
        <v>218680.88</v>
      </c>
      <c r="L98" s="138">
        <v>42543</v>
      </c>
      <c r="M98" s="73"/>
      <c r="N98" s="73"/>
      <c r="O98" s="73" t="s">
        <v>167</v>
      </c>
      <c r="P98" s="146">
        <v>42270</v>
      </c>
      <c r="Q98" s="85">
        <f>R98*3.4528</f>
        <v>1879.0828160000001</v>
      </c>
      <c r="R98" s="160">
        <v>544.22</v>
      </c>
      <c r="S98" s="148">
        <v>42346</v>
      </c>
    </row>
    <row r="99" spans="1:19" x14ac:dyDescent="0.25">
      <c r="A99" s="42">
        <v>19</v>
      </c>
      <c r="B99" s="73" t="s">
        <v>386</v>
      </c>
      <c r="C99" s="144">
        <v>60</v>
      </c>
      <c r="D99" s="73">
        <v>3</v>
      </c>
      <c r="E99" s="73" t="s">
        <v>166</v>
      </c>
      <c r="F99" s="128">
        <v>41864</v>
      </c>
      <c r="G99" s="62">
        <f>20/C99</f>
        <v>0.33333333333333331</v>
      </c>
      <c r="H99" s="63"/>
      <c r="I99" s="28"/>
      <c r="J99" s="63"/>
      <c r="K99" s="28"/>
      <c r="L99" s="63"/>
      <c r="M99" s="63"/>
      <c r="N99" s="63"/>
      <c r="O99" s="73" t="s">
        <v>77</v>
      </c>
      <c r="P99" s="158"/>
      <c r="Q99" s="85"/>
      <c r="R99" s="160"/>
      <c r="S99" s="159"/>
    </row>
    <row r="100" spans="1:19" x14ac:dyDescent="0.25">
      <c r="A100" s="42">
        <v>20</v>
      </c>
      <c r="B100" s="42" t="s">
        <v>393</v>
      </c>
      <c r="C100" s="236">
        <v>60</v>
      </c>
      <c r="D100" s="42">
        <v>2</v>
      </c>
      <c r="E100" s="343" t="s">
        <v>211</v>
      </c>
      <c r="F100" s="250">
        <v>41942</v>
      </c>
      <c r="G100" s="303">
        <f>36/C100</f>
        <v>0.6</v>
      </c>
      <c r="H100" s="42" t="s">
        <v>68</v>
      </c>
      <c r="I100" s="236" t="s">
        <v>228</v>
      </c>
      <c r="J100" s="252">
        <f>K100*3.4528</f>
        <v>1544917.1029759999</v>
      </c>
      <c r="K100" s="304">
        <v>447438.92</v>
      </c>
      <c r="L100" s="292">
        <v>42027</v>
      </c>
      <c r="M100" s="292">
        <v>42584</v>
      </c>
      <c r="N100" s="42" t="s">
        <v>68</v>
      </c>
      <c r="O100" s="42" t="s">
        <v>167</v>
      </c>
      <c r="P100" s="258">
        <v>41975</v>
      </c>
      <c r="Q100" s="125">
        <v>1878.62</v>
      </c>
      <c r="R100" s="259">
        <f>Q100/3.4528</f>
        <v>544.08595922150141</v>
      </c>
      <c r="S100" s="257">
        <v>42040</v>
      </c>
    </row>
    <row r="101" spans="1:19" x14ac:dyDescent="0.25">
      <c r="A101" s="42">
        <v>21</v>
      </c>
      <c r="B101" s="73" t="s">
        <v>382</v>
      </c>
      <c r="C101" s="144">
        <v>45</v>
      </c>
      <c r="D101" s="73">
        <v>0</v>
      </c>
      <c r="E101" s="73" t="s">
        <v>159</v>
      </c>
      <c r="F101" s="128">
        <v>41940</v>
      </c>
      <c r="G101" s="186">
        <f>26/C101</f>
        <v>0.57777777777777772</v>
      </c>
      <c r="H101" s="73" t="s">
        <v>68</v>
      </c>
      <c r="I101" s="144" t="s">
        <v>378</v>
      </c>
      <c r="J101" s="145">
        <f>K101*3.4528</f>
        <v>940179.38185600005</v>
      </c>
      <c r="K101" s="187">
        <v>272294.77</v>
      </c>
      <c r="L101" s="138">
        <v>42270</v>
      </c>
      <c r="M101" s="73"/>
      <c r="N101" s="73"/>
      <c r="O101" s="73" t="s">
        <v>167</v>
      </c>
      <c r="P101" s="146">
        <v>42037</v>
      </c>
      <c r="Q101" s="85">
        <v>2473.64</v>
      </c>
      <c r="R101" s="112">
        <f>Q101/3.4528</f>
        <v>716.41566265060237</v>
      </c>
      <c r="S101" s="148">
        <v>42117</v>
      </c>
    </row>
    <row r="102" spans="1:19" x14ac:dyDescent="0.25">
      <c r="A102" s="42">
        <v>22</v>
      </c>
      <c r="B102" s="73" t="s">
        <v>394</v>
      </c>
      <c r="C102" s="144">
        <v>45</v>
      </c>
      <c r="D102" s="73">
        <v>1</v>
      </c>
      <c r="E102" s="190" t="s">
        <v>210</v>
      </c>
      <c r="F102" s="75">
        <v>41940</v>
      </c>
      <c r="G102" s="186">
        <f>28/C102</f>
        <v>0.62222222222222223</v>
      </c>
      <c r="H102" s="74" t="s">
        <v>68</v>
      </c>
      <c r="I102" s="144" t="s">
        <v>227</v>
      </c>
      <c r="J102" s="145">
        <f>K102*3.4528</f>
        <v>1108100.2329279999</v>
      </c>
      <c r="K102" s="187">
        <v>320928.01</v>
      </c>
      <c r="L102" s="138">
        <v>42076</v>
      </c>
      <c r="M102" s="73"/>
      <c r="N102" s="73"/>
      <c r="O102" s="73" t="s">
        <v>167</v>
      </c>
      <c r="P102" s="146">
        <v>41975</v>
      </c>
      <c r="Q102" s="85">
        <v>1879.35</v>
      </c>
      <c r="R102" s="112">
        <f>Q102/3.4528</f>
        <v>544.29738183503241</v>
      </c>
      <c r="S102" s="148">
        <v>42040</v>
      </c>
    </row>
    <row r="103" spans="1:19" x14ac:dyDescent="0.25">
      <c r="A103" s="42">
        <v>23</v>
      </c>
      <c r="B103" s="73" t="s">
        <v>395</v>
      </c>
      <c r="C103" s="144">
        <v>40</v>
      </c>
      <c r="D103" s="73">
        <v>1</v>
      </c>
      <c r="E103" s="190" t="s">
        <v>209</v>
      </c>
      <c r="F103" s="75">
        <v>42620</v>
      </c>
      <c r="G103" s="186">
        <f>24/C103</f>
        <v>0.6</v>
      </c>
      <c r="H103" s="89"/>
      <c r="I103" s="74"/>
      <c r="J103" s="73"/>
      <c r="K103" s="74"/>
      <c r="L103" s="73"/>
      <c r="M103" s="73"/>
      <c r="N103" s="73"/>
      <c r="O103" s="73" t="s">
        <v>77</v>
      </c>
      <c r="P103" s="158"/>
      <c r="Q103" s="85"/>
      <c r="R103" s="160"/>
      <c r="S103" s="159"/>
    </row>
    <row r="104" spans="1:19" ht="15.75" thickBot="1" x14ac:dyDescent="0.3">
      <c r="A104" s="43">
        <v>24</v>
      </c>
      <c r="B104" s="167" t="s">
        <v>404</v>
      </c>
      <c r="C104" s="171">
        <v>75</v>
      </c>
      <c r="D104" s="167">
        <v>2</v>
      </c>
      <c r="E104" s="194" t="s">
        <v>199</v>
      </c>
      <c r="F104" s="180">
        <v>41906</v>
      </c>
      <c r="G104" s="341">
        <f>45/C104</f>
        <v>0.6</v>
      </c>
      <c r="H104" s="179" t="s">
        <v>68</v>
      </c>
      <c r="I104" s="171" t="s">
        <v>96</v>
      </c>
      <c r="J104" s="279">
        <f>K104*3.4528</f>
        <v>1987426.5698559999</v>
      </c>
      <c r="K104" s="195">
        <v>575598.52</v>
      </c>
      <c r="L104" s="177">
        <v>42026</v>
      </c>
      <c r="M104" s="177">
        <v>42573</v>
      </c>
      <c r="N104" s="167"/>
      <c r="O104" s="167" t="s">
        <v>167</v>
      </c>
      <c r="P104" s="172">
        <v>41956</v>
      </c>
      <c r="Q104" s="185">
        <v>1880.99</v>
      </c>
      <c r="R104" s="173">
        <f>Q104/3.4528</f>
        <v>544.77235866543094</v>
      </c>
      <c r="S104" s="174">
        <v>42034</v>
      </c>
    </row>
    <row r="105" spans="1:19" s="2" customFormat="1" x14ac:dyDescent="0.25">
      <c r="A105" s="47"/>
      <c r="B105" s="49" t="s">
        <v>110</v>
      </c>
      <c r="C105">
        <f>SUM(C81:C104)</f>
        <v>1221</v>
      </c>
      <c r="D105" s="2">
        <f>SUM(D81:D104)</f>
        <v>35</v>
      </c>
      <c r="E105" s="65"/>
      <c r="F105" s="64"/>
      <c r="G105" s="1">
        <f>COUNTIF(G81:G104,"&gt;0,5")</f>
        <v>17</v>
      </c>
      <c r="H105" s="1">
        <f>COUNTIF(H81:H104,"Taip")</f>
        <v>15</v>
      </c>
      <c r="I105" s="1">
        <f>COUNTA(I81:I104)</f>
        <v>15</v>
      </c>
      <c r="J105" s="52">
        <f>SUM(J81:J104)</f>
        <v>18763274.893759999</v>
      </c>
      <c r="K105" s="52">
        <f>SUM(K81:K104)</f>
        <v>5434220.0225208532</v>
      </c>
      <c r="L105" s="1"/>
      <c r="M105" s="1">
        <f>COUNTA(M81:M104)</f>
        <v>8</v>
      </c>
      <c r="N105" s="1">
        <f>COUNTA(N81:N104)</f>
        <v>2</v>
      </c>
      <c r="O105" s="1"/>
      <c r="P105" s="1"/>
      <c r="Q105" s="1"/>
      <c r="R105" s="1"/>
      <c r="S105" s="1"/>
    </row>
    <row r="106" spans="1:19" ht="16.5" thickBot="1" x14ac:dyDescent="0.3">
      <c r="B106" s="100" t="s">
        <v>234</v>
      </c>
      <c r="P106" s="1"/>
      <c r="Q106" s="1"/>
      <c r="R106" s="1"/>
      <c r="S106" s="1"/>
    </row>
    <row r="107" spans="1:19" ht="45.75" customHeight="1" thickBot="1" x14ac:dyDescent="0.3">
      <c r="A107" s="36" t="s">
        <v>0</v>
      </c>
      <c r="B107" s="37" t="s">
        <v>1</v>
      </c>
      <c r="C107" s="53" t="s">
        <v>94</v>
      </c>
      <c r="D107" s="53" t="s">
        <v>95</v>
      </c>
      <c r="E107" s="53" t="s">
        <v>102</v>
      </c>
      <c r="F107" s="53" t="s">
        <v>2</v>
      </c>
      <c r="G107" s="53" t="s">
        <v>69</v>
      </c>
      <c r="H107" s="53" t="s">
        <v>3</v>
      </c>
      <c r="I107" s="53" t="s">
        <v>73</v>
      </c>
      <c r="J107" s="53" t="s">
        <v>226</v>
      </c>
      <c r="K107" s="53" t="s">
        <v>225</v>
      </c>
      <c r="L107" s="53" t="s">
        <v>108</v>
      </c>
      <c r="M107" s="53" t="s">
        <v>243</v>
      </c>
      <c r="N107" s="53" t="s">
        <v>381</v>
      </c>
      <c r="O107" s="53" t="s">
        <v>109</v>
      </c>
      <c r="P107" s="18" t="s">
        <v>170</v>
      </c>
      <c r="Q107" s="53" t="s">
        <v>223</v>
      </c>
      <c r="R107" s="53" t="s">
        <v>247</v>
      </c>
      <c r="S107" s="20" t="s">
        <v>169</v>
      </c>
    </row>
    <row r="108" spans="1:19" x14ac:dyDescent="0.25">
      <c r="A108" s="19">
        <v>1</v>
      </c>
      <c r="B108" s="124" t="s">
        <v>103</v>
      </c>
      <c r="C108" s="152">
        <v>45</v>
      </c>
      <c r="D108" s="152">
        <v>0</v>
      </c>
      <c r="E108" s="103" t="s">
        <v>213</v>
      </c>
      <c r="F108" s="142">
        <v>42170</v>
      </c>
      <c r="G108" s="196">
        <f>29/C108</f>
        <v>0.64444444444444449</v>
      </c>
      <c r="H108" s="8" t="s">
        <v>68</v>
      </c>
      <c r="I108" s="144" t="s">
        <v>228</v>
      </c>
      <c r="J108" s="281">
        <f>K108*3.4528</f>
        <v>1518373.2886399999</v>
      </c>
      <c r="K108" s="281">
        <v>439751.3</v>
      </c>
      <c r="L108" s="201">
        <v>42436</v>
      </c>
      <c r="M108" s="103"/>
      <c r="N108" s="104"/>
      <c r="O108" s="9" t="s">
        <v>167</v>
      </c>
      <c r="P108" s="141">
        <v>42271</v>
      </c>
      <c r="Q108" s="59">
        <f>R108*3.4528</f>
        <v>2002.209664</v>
      </c>
      <c r="R108" s="59">
        <v>579.88</v>
      </c>
      <c r="S108" s="245">
        <v>42346</v>
      </c>
    </row>
    <row r="109" spans="1:19" x14ac:dyDescent="0.25">
      <c r="A109" s="42">
        <v>2</v>
      </c>
      <c r="B109" s="127" t="s">
        <v>104</v>
      </c>
      <c r="C109" s="144">
        <v>54</v>
      </c>
      <c r="D109" s="144">
        <v>1</v>
      </c>
      <c r="E109" s="73" t="s">
        <v>215</v>
      </c>
      <c r="F109" s="162">
        <v>42627</v>
      </c>
      <c r="G109" s="62">
        <f>23/C109</f>
        <v>0.42592592592592593</v>
      </c>
      <c r="H109" s="28"/>
      <c r="I109" s="15"/>
      <c r="J109" s="63"/>
      <c r="K109" s="63"/>
      <c r="L109" s="28"/>
      <c r="M109" s="63"/>
      <c r="N109" s="28"/>
      <c r="O109" s="3" t="s">
        <v>77</v>
      </c>
      <c r="P109" s="11"/>
      <c r="Q109" s="58"/>
      <c r="R109" s="109"/>
      <c r="S109" s="12"/>
    </row>
    <row r="110" spans="1:19" x14ac:dyDescent="0.25">
      <c r="A110" s="44">
        <v>3</v>
      </c>
      <c r="B110" s="197" t="s">
        <v>105</v>
      </c>
      <c r="C110" s="198">
        <v>54</v>
      </c>
      <c r="D110" s="198">
        <v>0</v>
      </c>
      <c r="E110" s="77" t="s">
        <v>216</v>
      </c>
      <c r="F110" s="162">
        <v>42627</v>
      </c>
      <c r="G110" s="204">
        <f>34/C110</f>
        <v>0.62962962962962965</v>
      </c>
      <c r="H110" s="164"/>
      <c r="I110" s="198"/>
      <c r="J110" s="77"/>
      <c r="K110" s="77"/>
      <c r="L110" s="164"/>
      <c r="M110" s="77"/>
      <c r="N110" s="164"/>
      <c r="O110" s="7" t="s">
        <v>77</v>
      </c>
      <c r="P110" s="78"/>
      <c r="Q110" s="79"/>
      <c r="R110" s="111"/>
      <c r="S110" s="80"/>
    </row>
    <row r="111" spans="1:19" x14ac:dyDescent="0.25">
      <c r="A111" s="119">
        <v>4</v>
      </c>
      <c r="B111" s="73" t="s">
        <v>106</v>
      </c>
      <c r="C111" s="144">
        <v>45</v>
      </c>
      <c r="D111" s="144">
        <v>2</v>
      </c>
      <c r="E111" s="73" t="s">
        <v>214</v>
      </c>
      <c r="F111" s="128">
        <v>42627</v>
      </c>
      <c r="G111" s="62">
        <f>9/C111</f>
        <v>0.2</v>
      </c>
      <c r="H111" s="28"/>
      <c r="I111" s="15"/>
      <c r="J111" s="63"/>
      <c r="K111" s="63"/>
      <c r="L111" s="28"/>
      <c r="M111" s="63"/>
      <c r="N111" s="28"/>
      <c r="O111" s="3" t="s">
        <v>77</v>
      </c>
      <c r="P111" s="11"/>
      <c r="Q111" s="58"/>
      <c r="R111" s="109"/>
      <c r="S111" s="12"/>
    </row>
    <row r="112" spans="1:19" s="2" customFormat="1" x14ac:dyDescent="0.25">
      <c r="A112" s="42">
        <v>5</v>
      </c>
      <c r="B112" s="127" t="s">
        <v>218</v>
      </c>
      <c r="C112" s="152">
        <v>60</v>
      </c>
      <c r="D112" s="152">
        <v>3</v>
      </c>
      <c r="E112" s="102" t="s">
        <v>237</v>
      </c>
      <c r="F112" s="142">
        <v>42332</v>
      </c>
      <c r="G112" s="199">
        <f>38/C112</f>
        <v>0.6333333333333333</v>
      </c>
      <c r="H112" s="8" t="s">
        <v>68</v>
      </c>
      <c r="I112" s="232" t="s">
        <v>424</v>
      </c>
      <c r="J112" s="145">
        <f>K112*3.4528</f>
        <v>1030400.8732159999</v>
      </c>
      <c r="K112" s="145">
        <v>298424.71999999997</v>
      </c>
      <c r="L112" s="287">
        <v>42433</v>
      </c>
      <c r="M112" s="115"/>
      <c r="N112" s="126"/>
      <c r="O112" s="115" t="s">
        <v>167</v>
      </c>
      <c r="P112" s="140">
        <v>42271</v>
      </c>
      <c r="Q112" s="79">
        <f>3.4528*R112</f>
        <v>1984.358688</v>
      </c>
      <c r="R112" s="116">
        <v>574.71</v>
      </c>
      <c r="S112" s="246">
        <v>42346</v>
      </c>
    </row>
    <row r="113" spans="1:19" s="2" customFormat="1" x14ac:dyDescent="0.25">
      <c r="A113" s="42">
        <v>6</v>
      </c>
      <c r="B113" s="127" t="s">
        <v>219</v>
      </c>
      <c r="C113" s="144">
        <v>6</v>
      </c>
      <c r="D113" s="144">
        <v>5</v>
      </c>
      <c r="E113" s="73" t="s">
        <v>239</v>
      </c>
      <c r="F113" s="128">
        <v>42180</v>
      </c>
      <c r="G113" s="199">
        <f>5/6</f>
        <v>0.83333333333333337</v>
      </c>
      <c r="H113" s="28"/>
      <c r="I113" s="15"/>
      <c r="J113" s="63" t="s">
        <v>76</v>
      </c>
      <c r="K113" s="63"/>
      <c r="L113" s="28"/>
      <c r="M113" s="63"/>
      <c r="N113" s="28"/>
      <c r="O113" s="115" t="s">
        <v>167</v>
      </c>
      <c r="P113" s="76">
        <v>42284</v>
      </c>
      <c r="Q113" s="79">
        <f>3.4528*R113</f>
        <v>1984.358688</v>
      </c>
      <c r="R113" s="109">
        <v>574.71</v>
      </c>
      <c r="S113" s="229">
        <v>42396</v>
      </c>
    </row>
    <row r="114" spans="1:19" s="2" customFormat="1" x14ac:dyDescent="0.25">
      <c r="A114" s="42">
        <v>7</v>
      </c>
      <c r="B114" s="127" t="s">
        <v>220</v>
      </c>
      <c r="C114" s="144">
        <v>5</v>
      </c>
      <c r="D114" s="144">
        <v>5</v>
      </c>
      <c r="E114" s="73" t="s">
        <v>238</v>
      </c>
      <c r="F114" s="128">
        <v>42628</v>
      </c>
      <c r="G114" s="199">
        <f>5/C114</f>
        <v>1</v>
      </c>
      <c r="H114" s="5"/>
      <c r="I114" s="232"/>
      <c r="J114" s="3"/>
      <c r="K114" s="3"/>
      <c r="L114" s="5"/>
      <c r="M114" s="3"/>
      <c r="N114" s="5"/>
      <c r="O114" s="3" t="s">
        <v>77</v>
      </c>
      <c r="P114" s="11"/>
      <c r="Q114" s="79"/>
      <c r="R114" s="109"/>
      <c r="S114" s="12"/>
    </row>
    <row r="115" spans="1:19" s="2" customFormat="1" x14ac:dyDescent="0.25">
      <c r="A115" s="42">
        <v>8</v>
      </c>
      <c r="B115" s="197" t="s">
        <v>221</v>
      </c>
      <c r="C115" s="198">
        <v>5</v>
      </c>
      <c r="D115" s="198">
        <v>5</v>
      </c>
      <c r="E115" s="77" t="s">
        <v>240</v>
      </c>
      <c r="F115" s="162">
        <v>42180</v>
      </c>
      <c r="G115" s="199">
        <f>5/C115</f>
        <v>1</v>
      </c>
      <c r="H115" s="8" t="s">
        <v>68</v>
      </c>
      <c r="I115" s="144" t="s">
        <v>463</v>
      </c>
      <c r="J115" s="145">
        <f>K115*3.4528</f>
        <v>362970.89866751997</v>
      </c>
      <c r="K115" s="145">
        <v>105123.6384</v>
      </c>
      <c r="L115" s="290">
        <v>42524</v>
      </c>
      <c r="M115" s="7"/>
      <c r="N115" s="8"/>
      <c r="O115" s="115" t="s">
        <v>167</v>
      </c>
      <c r="P115" s="139">
        <v>42271</v>
      </c>
      <c r="Q115" s="79">
        <f>3.4528*R115</f>
        <v>1984.358688</v>
      </c>
      <c r="R115" s="111">
        <v>574.71</v>
      </c>
      <c r="S115" s="230">
        <v>42317</v>
      </c>
    </row>
    <row r="116" spans="1:19" s="2" customFormat="1" x14ac:dyDescent="0.25">
      <c r="A116" s="42">
        <v>9</v>
      </c>
      <c r="B116" s="73" t="s">
        <v>217</v>
      </c>
      <c r="C116" s="144">
        <v>60</v>
      </c>
      <c r="D116" s="144">
        <v>2</v>
      </c>
      <c r="E116" s="73" t="s">
        <v>236</v>
      </c>
      <c r="F116" s="128">
        <v>42156</v>
      </c>
      <c r="G116" s="186">
        <f>34/C116</f>
        <v>0.56666666666666665</v>
      </c>
      <c r="H116" s="3" t="s">
        <v>68</v>
      </c>
      <c r="I116" s="232" t="s">
        <v>424</v>
      </c>
      <c r="J116" s="145">
        <f>K116*3.4528</f>
        <v>1173798.5230399999</v>
      </c>
      <c r="K116" s="145">
        <v>339955.55</v>
      </c>
      <c r="L116" s="264">
        <v>42424</v>
      </c>
      <c r="M116" s="3"/>
      <c r="N116" s="5"/>
      <c r="O116" s="115" t="s">
        <v>167</v>
      </c>
      <c r="P116" s="76">
        <v>42271</v>
      </c>
      <c r="Q116" s="58">
        <f>3.4528*R116</f>
        <v>1984.358688</v>
      </c>
      <c r="R116" s="109">
        <v>574.71</v>
      </c>
      <c r="S116" s="229">
        <v>42317</v>
      </c>
    </row>
    <row r="117" spans="1:19" s="2" customFormat="1" x14ac:dyDescent="0.25">
      <c r="A117" s="42">
        <v>10</v>
      </c>
      <c r="B117" s="127" t="s">
        <v>245</v>
      </c>
      <c r="C117" s="115">
        <v>45</v>
      </c>
      <c r="D117" s="126">
        <v>1</v>
      </c>
      <c r="E117" s="115"/>
      <c r="F117" s="126"/>
      <c r="G117" s="115"/>
      <c r="H117" s="126"/>
      <c r="I117" s="280"/>
      <c r="J117" s="115"/>
      <c r="K117" s="129"/>
      <c r="L117" s="126"/>
      <c r="M117" s="115"/>
      <c r="N117" s="126"/>
      <c r="O117" s="115" t="s">
        <v>376</v>
      </c>
      <c r="P117" s="131"/>
      <c r="Q117" s="132"/>
      <c r="R117" s="133"/>
      <c r="S117" s="134"/>
    </row>
    <row r="118" spans="1:19" s="2" customFormat="1" x14ac:dyDescent="0.25">
      <c r="A118" s="42">
        <v>11</v>
      </c>
      <c r="B118" s="89" t="s">
        <v>387</v>
      </c>
      <c r="C118" s="115">
        <v>60</v>
      </c>
      <c r="D118" s="126">
        <v>0</v>
      </c>
      <c r="E118" s="3"/>
      <c r="F118" s="5"/>
      <c r="G118" s="3"/>
      <c r="H118" s="5"/>
      <c r="I118" s="232"/>
      <c r="J118" s="3"/>
      <c r="K118" s="130"/>
      <c r="L118" s="5"/>
      <c r="M118" s="3"/>
      <c r="N118" s="126"/>
      <c r="O118" s="115" t="s">
        <v>376</v>
      </c>
      <c r="P118" s="135"/>
      <c r="Q118" s="125"/>
      <c r="R118" s="136"/>
      <c r="S118" s="137"/>
    </row>
    <row r="119" spans="1:19" s="2" customFormat="1" x14ac:dyDescent="0.25">
      <c r="A119" s="42">
        <v>12</v>
      </c>
      <c r="B119" s="89" t="s">
        <v>246</v>
      </c>
      <c r="C119" s="3">
        <v>60</v>
      </c>
      <c r="D119" s="5">
        <v>2</v>
      </c>
      <c r="E119" s="3"/>
      <c r="F119" s="5"/>
      <c r="G119" s="3"/>
      <c r="H119" s="5"/>
      <c r="I119" s="232"/>
      <c r="J119" s="3"/>
      <c r="K119" s="130"/>
      <c r="L119" s="5"/>
      <c r="M119" s="3"/>
      <c r="N119" s="126"/>
      <c r="O119" s="115" t="s">
        <v>376</v>
      </c>
      <c r="P119" s="135"/>
      <c r="Q119" s="125"/>
      <c r="R119" s="136"/>
      <c r="S119" s="137"/>
    </row>
    <row r="120" spans="1:19" s="2" customFormat="1" x14ac:dyDescent="0.25">
      <c r="A120" s="42">
        <v>13</v>
      </c>
      <c r="B120" s="89" t="s">
        <v>248</v>
      </c>
      <c r="C120" s="3">
        <v>60</v>
      </c>
      <c r="D120" s="5">
        <v>3</v>
      </c>
      <c r="E120" s="115"/>
      <c r="F120" s="126"/>
      <c r="G120" s="115"/>
      <c r="H120" s="126"/>
      <c r="I120" s="280"/>
      <c r="J120" s="115"/>
      <c r="K120" s="129"/>
      <c r="L120" s="126"/>
      <c r="M120" s="115"/>
      <c r="N120" s="126"/>
      <c r="O120" s="115" t="s">
        <v>376</v>
      </c>
      <c r="P120" s="131"/>
      <c r="Q120" s="132"/>
      <c r="R120" s="133"/>
      <c r="S120" s="134"/>
    </row>
    <row r="121" spans="1:19" s="2" customFormat="1" x14ac:dyDescent="0.25">
      <c r="A121" s="42">
        <v>14</v>
      </c>
      <c r="B121" s="89" t="s">
        <v>249</v>
      </c>
      <c r="C121" s="3">
        <v>40</v>
      </c>
      <c r="D121" s="5">
        <v>0</v>
      </c>
      <c r="E121" s="3"/>
      <c r="F121" s="5"/>
      <c r="G121" s="3"/>
      <c r="H121" s="5"/>
      <c r="I121" s="232"/>
      <c r="J121" s="3"/>
      <c r="K121" s="130"/>
      <c r="L121" s="5"/>
      <c r="M121" s="3"/>
      <c r="N121" s="126"/>
      <c r="O121" s="115" t="s">
        <v>376</v>
      </c>
      <c r="P121" s="135"/>
      <c r="Q121" s="125"/>
      <c r="R121" s="136"/>
      <c r="S121" s="137"/>
    </row>
    <row r="122" spans="1:19" s="2" customFormat="1" x14ac:dyDescent="0.25">
      <c r="A122" s="42">
        <v>15</v>
      </c>
      <c r="B122" s="89" t="s">
        <v>375</v>
      </c>
      <c r="C122" s="3">
        <v>8</v>
      </c>
      <c r="D122" s="5">
        <v>0</v>
      </c>
      <c r="E122" s="3"/>
      <c r="F122" s="5"/>
      <c r="G122" s="3"/>
      <c r="H122" s="5"/>
      <c r="I122" s="232"/>
      <c r="J122" s="3"/>
      <c r="K122" s="130"/>
      <c r="L122" s="5"/>
      <c r="M122" s="3"/>
      <c r="N122" s="5"/>
      <c r="O122" s="3" t="s">
        <v>376</v>
      </c>
      <c r="P122" s="236"/>
      <c r="Q122" s="125"/>
      <c r="R122" s="237"/>
      <c r="S122" s="137"/>
    </row>
    <row r="123" spans="1:19" s="2" customFormat="1" x14ac:dyDescent="0.25">
      <c r="A123" s="44">
        <v>16</v>
      </c>
      <c r="B123" s="275" t="s">
        <v>421</v>
      </c>
      <c r="C123" s="115">
        <v>45</v>
      </c>
      <c r="D123" s="115">
        <v>0</v>
      </c>
      <c r="E123" s="126"/>
      <c r="F123" s="115"/>
      <c r="G123" s="126"/>
      <c r="H123" s="115"/>
      <c r="I123" s="126"/>
      <c r="J123" s="115"/>
      <c r="K123" s="129"/>
      <c r="L123" s="126"/>
      <c r="M123" s="115"/>
      <c r="N123" s="126"/>
      <c r="O123" s="233" t="s">
        <v>376</v>
      </c>
      <c r="P123" s="276"/>
      <c r="Q123" s="133"/>
      <c r="R123" s="133"/>
      <c r="S123" s="134"/>
    </row>
    <row r="124" spans="1:19" s="2" customFormat="1" x14ac:dyDescent="0.25">
      <c r="A124" s="42">
        <v>17</v>
      </c>
      <c r="B124" s="47" t="s">
        <v>405</v>
      </c>
      <c r="C124" s="3">
        <v>60</v>
      </c>
      <c r="D124" s="233">
        <v>2</v>
      </c>
      <c r="E124" s="1"/>
      <c r="F124" s="233"/>
      <c r="G124" s="1"/>
      <c r="H124" s="233"/>
      <c r="I124" s="1"/>
      <c r="J124" s="233"/>
      <c r="K124" s="234"/>
      <c r="L124" s="1"/>
      <c r="M124" s="233"/>
      <c r="N124" s="1"/>
      <c r="O124" s="3" t="s">
        <v>376</v>
      </c>
      <c r="P124" s="235"/>
      <c r="Q124" s="273"/>
      <c r="R124" s="273"/>
      <c r="S124" s="274"/>
    </row>
    <row r="125" spans="1:19" s="2" customFormat="1" x14ac:dyDescent="0.25">
      <c r="A125" s="44">
        <v>18</v>
      </c>
      <c r="B125" s="85" t="s">
        <v>406</v>
      </c>
      <c r="C125" s="3">
        <v>45</v>
      </c>
      <c r="D125" s="3">
        <v>0</v>
      </c>
      <c r="E125" s="5"/>
      <c r="F125" s="244"/>
      <c r="G125" s="5"/>
      <c r="H125" s="3"/>
      <c r="I125" s="5"/>
      <c r="J125" s="3"/>
      <c r="K125" s="130"/>
      <c r="L125" s="5"/>
      <c r="M125" s="3"/>
      <c r="N125" s="5"/>
      <c r="O125" s="115" t="s">
        <v>376</v>
      </c>
      <c r="P125" s="236"/>
      <c r="Q125" s="136"/>
      <c r="R125" s="136"/>
      <c r="S125" s="137"/>
    </row>
    <row r="126" spans="1:19" x14ac:dyDescent="0.25">
      <c r="A126" s="42">
        <v>19</v>
      </c>
      <c r="B126" s="89" t="s">
        <v>407</v>
      </c>
      <c r="C126" s="73">
        <v>45</v>
      </c>
      <c r="D126" s="3">
        <v>2</v>
      </c>
      <c r="E126" s="5"/>
      <c r="F126" s="244"/>
      <c r="G126" s="5"/>
      <c r="H126" s="3"/>
      <c r="I126" s="307"/>
      <c r="J126" s="3"/>
      <c r="K126" s="3"/>
      <c r="L126" s="5"/>
      <c r="M126" s="3"/>
      <c r="N126" s="5"/>
      <c r="O126" s="3" t="s">
        <v>376</v>
      </c>
      <c r="P126" s="236"/>
      <c r="Q126" s="136"/>
      <c r="R126" s="136"/>
      <c r="S126" s="137"/>
    </row>
    <row r="127" spans="1:19" s="2" customFormat="1" x14ac:dyDescent="0.25">
      <c r="A127" s="44">
        <v>20</v>
      </c>
      <c r="B127" s="306" t="s">
        <v>419</v>
      </c>
      <c r="C127" s="152">
        <v>45</v>
      </c>
      <c r="D127" s="115">
        <v>2</v>
      </c>
      <c r="E127" s="115"/>
      <c r="F127" s="287"/>
      <c r="G127" s="115"/>
      <c r="H127" s="126"/>
      <c r="I127" s="323"/>
      <c r="J127" s="126"/>
      <c r="K127" s="115"/>
      <c r="L127" s="126"/>
      <c r="M127" s="115"/>
      <c r="N127" s="126"/>
      <c r="O127" s="233" t="s">
        <v>376</v>
      </c>
      <c r="P127" s="276"/>
      <c r="Q127" s="132"/>
      <c r="R127" s="132"/>
      <c r="S127" s="324"/>
    </row>
    <row r="128" spans="1:19" s="2" customFormat="1" x14ac:dyDescent="0.25">
      <c r="A128" s="42">
        <v>21</v>
      </c>
      <c r="B128" s="74" t="s">
        <v>418</v>
      </c>
      <c r="C128" s="144">
        <v>45</v>
      </c>
      <c r="D128" s="3">
        <v>1</v>
      </c>
      <c r="E128" s="3"/>
      <c r="F128" s="264"/>
      <c r="G128" s="3"/>
      <c r="H128" s="5"/>
      <c r="I128" s="284"/>
      <c r="J128" s="5"/>
      <c r="K128" s="3"/>
      <c r="L128" s="5"/>
      <c r="M128" s="3"/>
      <c r="N128" s="5"/>
      <c r="O128" s="3" t="s">
        <v>376</v>
      </c>
      <c r="P128" s="236"/>
      <c r="Q128" s="125"/>
      <c r="R128" s="125"/>
      <c r="S128" s="238"/>
    </row>
    <row r="129" spans="1:19" s="2" customFormat="1" x14ac:dyDescent="0.25">
      <c r="A129" s="44">
        <v>22</v>
      </c>
      <c r="B129" s="74" t="s">
        <v>422</v>
      </c>
      <c r="C129" s="144">
        <v>45</v>
      </c>
      <c r="D129" s="3">
        <v>0</v>
      </c>
      <c r="E129" s="3"/>
      <c r="F129" s="264"/>
      <c r="G129" s="3"/>
      <c r="H129" s="5"/>
      <c r="I129" s="284"/>
      <c r="J129" s="5"/>
      <c r="K129" s="3"/>
      <c r="L129" s="5"/>
      <c r="M129" s="3"/>
      <c r="N129" s="5"/>
      <c r="O129" s="233" t="s">
        <v>376</v>
      </c>
      <c r="P129" s="236"/>
      <c r="Q129" s="125"/>
      <c r="R129" s="125"/>
      <c r="S129" s="238"/>
    </row>
    <row r="130" spans="1:19" s="2" customFormat="1" x14ac:dyDescent="0.25">
      <c r="A130" s="42">
        <v>23</v>
      </c>
      <c r="B130" s="74" t="s">
        <v>423</v>
      </c>
      <c r="C130" s="144">
        <v>45</v>
      </c>
      <c r="D130" s="3">
        <v>0</v>
      </c>
      <c r="E130" s="3"/>
      <c r="F130" s="264"/>
      <c r="G130" s="3"/>
      <c r="H130" s="5"/>
      <c r="I130" s="284"/>
      <c r="J130" s="5"/>
      <c r="K130" s="3"/>
      <c r="L130" s="5"/>
      <c r="M130" s="3"/>
      <c r="N130" s="5"/>
      <c r="O130" s="3" t="s">
        <v>376</v>
      </c>
      <c r="P130" s="236"/>
      <c r="Q130" s="125"/>
      <c r="R130" s="125"/>
      <c r="S130" s="238"/>
    </row>
    <row r="131" spans="1:19" s="2" customFormat="1" x14ac:dyDescent="0.25">
      <c r="A131" s="119">
        <v>24</v>
      </c>
      <c r="B131" s="47" t="s">
        <v>403</v>
      </c>
      <c r="C131" s="282">
        <v>30</v>
      </c>
      <c r="D131" s="203">
        <v>0</v>
      </c>
      <c r="E131" s="233"/>
      <c r="F131" s="64"/>
      <c r="G131" s="233"/>
      <c r="H131" s="1"/>
      <c r="I131" s="285"/>
      <c r="J131" s="1"/>
      <c r="K131" s="233"/>
      <c r="L131" s="1"/>
      <c r="M131" s="233"/>
      <c r="N131" s="1"/>
      <c r="O131" s="233" t="s">
        <v>376</v>
      </c>
      <c r="P131" s="235"/>
      <c r="Q131" s="286"/>
      <c r="R131" s="286"/>
      <c r="S131" s="283"/>
    </row>
    <row r="132" spans="1:19" s="2" customFormat="1" x14ac:dyDescent="0.25">
      <c r="A132" s="42">
        <v>25</v>
      </c>
      <c r="B132" s="89" t="s">
        <v>425</v>
      </c>
      <c r="C132" s="74">
        <v>45</v>
      </c>
      <c r="D132" s="73">
        <v>2</v>
      </c>
      <c r="E132" s="3"/>
      <c r="F132" s="264"/>
      <c r="G132" s="3"/>
      <c r="H132" s="5"/>
      <c r="I132" s="284"/>
      <c r="J132" s="5"/>
      <c r="K132" s="3"/>
      <c r="L132" s="5"/>
      <c r="M132" s="3"/>
      <c r="N132" s="5"/>
      <c r="O132" s="3" t="s">
        <v>376</v>
      </c>
      <c r="P132" s="236"/>
      <c r="Q132" s="125"/>
      <c r="R132" s="125"/>
      <c r="S132" s="238"/>
    </row>
    <row r="133" spans="1:19" s="2" customFormat="1" x14ac:dyDescent="0.25">
      <c r="A133" s="42">
        <v>26</v>
      </c>
      <c r="B133" s="89" t="s">
        <v>426</v>
      </c>
      <c r="C133" s="74">
        <v>54</v>
      </c>
      <c r="D133" s="3">
        <v>1</v>
      </c>
      <c r="E133" s="3"/>
      <c r="F133" s="264"/>
      <c r="G133" s="3"/>
      <c r="H133" s="5"/>
      <c r="I133" s="284"/>
      <c r="J133" s="5"/>
      <c r="K133" s="3"/>
      <c r="L133" s="5"/>
      <c r="M133" s="3"/>
      <c r="N133" s="5"/>
      <c r="O133" s="3" t="s">
        <v>376</v>
      </c>
      <c r="P133" s="236"/>
      <c r="Q133" s="125"/>
      <c r="R133" s="125"/>
      <c r="S133" s="238"/>
    </row>
    <row r="134" spans="1:19" s="2" customFormat="1" x14ac:dyDescent="0.25">
      <c r="A134" s="42">
        <v>27</v>
      </c>
      <c r="B134" s="197" t="s">
        <v>428</v>
      </c>
      <c r="C134" s="47">
        <v>45</v>
      </c>
      <c r="D134" s="233">
        <v>1</v>
      </c>
      <c r="E134" s="233"/>
      <c r="F134" s="264"/>
      <c r="G134" s="233"/>
      <c r="H134" s="1"/>
      <c r="I134" s="285"/>
      <c r="J134" s="1"/>
      <c r="K134" s="233"/>
      <c r="L134" s="1"/>
      <c r="M134" s="233"/>
      <c r="N134" s="1"/>
      <c r="O134" s="115" t="s">
        <v>77</v>
      </c>
      <c r="P134" s="282"/>
      <c r="Q134" s="328"/>
      <c r="R134" s="328"/>
      <c r="S134" s="197"/>
    </row>
    <row r="135" spans="1:19" s="2" customFormat="1" x14ac:dyDescent="0.25">
      <c r="A135" s="42">
        <v>28</v>
      </c>
      <c r="B135" s="89" t="s">
        <v>427</v>
      </c>
      <c r="C135" s="74">
        <v>60</v>
      </c>
      <c r="D135" s="3">
        <v>3</v>
      </c>
      <c r="E135" s="3"/>
      <c r="F135" s="264"/>
      <c r="G135" s="3"/>
      <c r="H135" s="5"/>
      <c r="I135" s="284"/>
      <c r="J135" s="5"/>
      <c r="K135" s="3"/>
      <c r="L135" s="5"/>
      <c r="M135" s="3"/>
      <c r="N135" s="5"/>
      <c r="O135" s="3" t="s">
        <v>376</v>
      </c>
      <c r="P135" s="236"/>
      <c r="Q135" s="125"/>
      <c r="R135" s="125"/>
      <c r="S135" s="238"/>
    </row>
    <row r="136" spans="1:19" s="2" customFormat="1" x14ac:dyDescent="0.25">
      <c r="A136" s="42">
        <v>29</v>
      </c>
      <c r="B136" s="89" t="s">
        <v>431</v>
      </c>
      <c r="C136" s="74">
        <v>45</v>
      </c>
      <c r="D136" s="3">
        <v>0</v>
      </c>
      <c r="E136" s="233"/>
      <c r="F136" s="264"/>
      <c r="G136" s="3"/>
      <c r="H136" s="5"/>
      <c r="I136" s="284"/>
      <c r="J136" s="5"/>
      <c r="K136" s="3"/>
      <c r="L136" s="5"/>
      <c r="M136" s="3"/>
      <c r="N136" s="5"/>
      <c r="O136" s="3" t="s">
        <v>376</v>
      </c>
      <c r="P136" s="237"/>
      <c r="Q136" s="125"/>
      <c r="R136" s="125"/>
      <c r="S136" s="237"/>
    </row>
    <row r="137" spans="1:19" x14ac:dyDescent="0.25">
      <c r="A137" s="44">
        <v>30</v>
      </c>
      <c r="B137" s="127" t="s">
        <v>432</v>
      </c>
      <c r="C137" s="306">
        <v>38</v>
      </c>
      <c r="D137" s="102">
        <v>0</v>
      </c>
      <c r="E137" s="3"/>
      <c r="F137" s="264"/>
      <c r="G137" s="115"/>
      <c r="H137" s="5"/>
      <c r="I137" s="3"/>
      <c r="J137" s="5"/>
      <c r="K137" s="3"/>
      <c r="L137" s="5"/>
      <c r="M137" s="3"/>
      <c r="N137" s="308"/>
      <c r="O137" s="115" t="s">
        <v>376</v>
      </c>
      <c r="P137" s="311"/>
      <c r="Q137" s="125"/>
      <c r="R137" s="125"/>
      <c r="S137" s="311"/>
    </row>
    <row r="138" spans="1:19" ht="15.75" thickBot="1" x14ac:dyDescent="0.3">
      <c r="A138" s="43">
        <v>31</v>
      </c>
      <c r="B138" s="168" t="s">
        <v>430</v>
      </c>
      <c r="C138" s="6">
        <v>22</v>
      </c>
      <c r="D138" s="167">
        <v>1</v>
      </c>
      <c r="E138" s="6"/>
      <c r="F138" s="180"/>
      <c r="G138" s="4"/>
      <c r="H138" s="6"/>
      <c r="I138" s="4"/>
      <c r="J138" s="6"/>
      <c r="K138" s="4"/>
      <c r="L138" s="6"/>
      <c r="M138" s="4"/>
      <c r="N138" s="6"/>
      <c r="O138" s="4" t="s">
        <v>376</v>
      </c>
      <c r="P138" s="239"/>
      <c r="Q138" s="327"/>
      <c r="R138" s="327"/>
      <c r="S138" s="240"/>
    </row>
    <row r="139" spans="1:19" s="2" customFormat="1" x14ac:dyDescent="0.25">
      <c r="A139" s="44">
        <v>32</v>
      </c>
      <c r="B139" s="160" t="s">
        <v>447</v>
      </c>
      <c r="C139" s="9">
        <v>60</v>
      </c>
      <c r="D139" s="103">
        <v>2</v>
      </c>
      <c r="E139" s="114"/>
      <c r="F139" s="120"/>
      <c r="G139" s="126"/>
      <c r="H139" s="126"/>
      <c r="I139" s="310"/>
      <c r="J139" s="126"/>
      <c r="K139" s="126"/>
      <c r="L139" s="126"/>
      <c r="M139" s="126"/>
      <c r="N139" s="325"/>
      <c r="O139" s="115" t="s">
        <v>376</v>
      </c>
      <c r="P139" s="326"/>
      <c r="Q139" s="132"/>
      <c r="R139" s="132"/>
      <c r="S139" s="305"/>
    </row>
    <row r="140" spans="1:19" s="2" customFormat="1" x14ac:dyDescent="0.25">
      <c r="A140" s="42">
        <v>33</v>
      </c>
      <c r="B140" s="306" t="s">
        <v>453</v>
      </c>
      <c r="C140" s="115">
        <v>100</v>
      </c>
      <c r="D140" s="102">
        <v>4</v>
      </c>
      <c r="E140" s="126"/>
      <c r="F140" s="287"/>
      <c r="G140" s="126"/>
      <c r="H140" s="126"/>
      <c r="I140" s="310"/>
      <c r="J140" s="126"/>
      <c r="K140" s="126"/>
      <c r="L140" s="126"/>
      <c r="M140" s="126"/>
      <c r="N140" s="126"/>
      <c r="O140" s="115"/>
      <c r="P140" s="312"/>
      <c r="Q140" s="132"/>
      <c r="R140" s="132"/>
      <c r="S140" s="305"/>
    </row>
    <row r="141" spans="1:19" s="2" customFormat="1" x14ac:dyDescent="0.25">
      <c r="A141" s="44">
        <v>34</v>
      </c>
      <c r="B141" s="306" t="s">
        <v>448</v>
      </c>
      <c r="C141" s="115">
        <v>45</v>
      </c>
      <c r="D141" s="102">
        <v>1</v>
      </c>
      <c r="E141" s="126"/>
      <c r="F141" s="287"/>
      <c r="G141" s="126"/>
      <c r="H141" s="126"/>
      <c r="I141" s="310"/>
      <c r="J141" s="126"/>
      <c r="K141" s="126"/>
      <c r="L141" s="126"/>
      <c r="M141" s="126"/>
      <c r="N141" s="126"/>
      <c r="O141" s="115" t="s">
        <v>376</v>
      </c>
      <c r="P141" s="312"/>
      <c r="Q141" s="132"/>
      <c r="R141" s="132"/>
      <c r="S141" s="305"/>
    </row>
    <row r="142" spans="1:19" s="2" customFormat="1" x14ac:dyDescent="0.25">
      <c r="A142" s="42">
        <v>35</v>
      </c>
      <c r="B142" s="1" t="s">
        <v>444</v>
      </c>
      <c r="C142" s="77">
        <v>60</v>
      </c>
      <c r="D142" s="77">
        <v>2</v>
      </c>
      <c r="E142" s="1"/>
      <c r="F142" s="64"/>
      <c r="G142" s="1"/>
      <c r="H142" s="1"/>
      <c r="I142" s="334"/>
      <c r="J142" s="1"/>
      <c r="K142" s="1"/>
      <c r="L142" s="1"/>
      <c r="M142" s="1"/>
      <c r="N142" s="1"/>
      <c r="O142" s="233" t="s">
        <v>376</v>
      </c>
      <c r="P142" s="305"/>
      <c r="Q142" s="329"/>
      <c r="R142" s="329"/>
      <c r="S142" s="305"/>
    </row>
    <row r="143" spans="1:19" s="2" customFormat="1" x14ac:dyDescent="0.25">
      <c r="A143" s="44">
        <v>36</v>
      </c>
      <c r="B143" s="144" t="s">
        <v>434</v>
      </c>
      <c r="C143" s="85">
        <v>75</v>
      </c>
      <c r="D143" s="85">
        <v>2</v>
      </c>
      <c r="E143" s="5"/>
      <c r="F143" s="264"/>
      <c r="G143" s="5"/>
      <c r="H143" s="5"/>
      <c r="I143" s="307"/>
      <c r="J143" s="5"/>
      <c r="K143" s="5"/>
      <c r="L143" s="5"/>
      <c r="M143" s="5"/>
      <c r="N143" s="5"/>
      <c r="O143" s="5"/>
      <c r="P143" s="237"/>
      <c r="Q143" s="237"/>
      <c r="R143" s="237"/>
      <c r="S143" s="237"/>
    </row>
    <row r="144" spans="1:19" s="2" customFormat="1" x14ac:dyDescent="0.25">
      <c r="A144" s="305"/>
      <c r="B144" s="47"/>
      <c r="C144" s="47"/>
      <c r="D144" s="47"/>
      <c r="E144" s="1"/>
      <c r="F144" s="64"/>
      <c r="G144" s="1"/>
      <c r="H144" s="1"/>
      <c r="I144" s="334"/>
      <c r="J144" s="1"/>
      <c r="K144" s="1"/>
      <c r="L144" s="1"/>
      <c r="M144" s="1"/>
      <c r="N144" s="1"/>
      <c r="O144" s="1"/>
      <c r="P144" s="305"/>
      <c r="Q144" s="305"/>
      <c r="R144" s="305"/>
      <c r="S144" s="305"/>
    </row>
    <row r="145" spans="1:19" s="2" customFormat="1" x14ac:dyDescent="0.25">
      <c r="A145" s="305"/>
      <c r="B145" s="47"/>
      <c r="C145" s="47"/>
      <c r="D145" s="47"/>
      <c r="E145" s="1"/>
      <c r="F145" s="64"/>
      <c r="G145" s="1"/>
      <c r="H145" s="1"/>
      <c r="I145" s="334"/>
      <c r="J145" s="1"/>
      <c r="K145" s="1"/>
      <c r="L145" s="1"/>
      <c r="M145" s="1"/>
      <c r="N145" s="1"/>
      <c r="O145" s="1"/>
      <c r="P145" s="305"/>
      <c r="Q145" s="305"/>
      <c r="R145" s="305"/>
      <c r="S145" s="305"/>
    </row>
    <row r="146" spans="1:19" s="2" customFormat="1" x14ac:dyDescent="0.25">
      <c r="B146" s="47"/>
      <c r="C146" s="2">
        <f>SUM(C108:C138)</f>
        <v>1321</v>
      </c>
      <c r="D146" s="2">
        <f>SUM(D108:D138)</f>
        <v>44</v>
      </c>
      <c r="G146" s="2">
        <f>COUNTIF(G108:G138,"&gt;0,5")</f>
        <v>7</v>
      </c>
      <c r="H146" s="2">
        <f>COUNTIF(H108:H138,"Taip")</f>
        <v>4</v>
      </c>
      <c r="I146" s="2">
        <f>COUNTA(I108:I138)</f>
        <v>4</v>
      </c>
      <c r="J146" s="52">
        <f>SUM(J108:J138)</f>
        <v>4085543.5835635196</v>
      </c>
      <c r="K146" s="52">
        <f>SUM(K108:K138)</f>
        <v>1183255.2084000001</v>
      </c>
      <c r="L146" s="2">
        <f>COUNTIF(L108:L138,"Taip")</f>
        <v>0</v>
      </c>
      <c r="M146" s="2">
        <f>COUNTIF(M108:M138,"Taip")</f>
        <v>0</v>
      </c>
      <c r="N146" s="2">
        <f>COUNTIF(N108:N138,"Taip")</f>
        <v>0</v>
      </c>
    </row>
    <row r="147" spans="1:19" s="2" customFormat="1" x14ac:dyDescent="0.25">
      <c r="B147" s="47"/>
      <c r="K147" s="52"/>
    </row>
    <row r="148" spans="1:19" x14ac:dyDescent="0.25">
      <c r="B148" s="83" t="s">
        <v>110</v>
      </c>
      <c r="C148" s="82">
        <f>C48+C78+C105+C146</f>
        <v>5874</v>
      </c>
      <c r="D148" s="82">
        <f>D48+D78+D105+D146</f>
        <v>322</v>
      </c>
      <c r="E148" s="82"/>
      <c r="F148" s="82"/>
      <c r="G148" s="58" t="s">
        <v>413</v>
      </c>
      <c r="H148" s="58" t="s">
        <v>414</v>
      </c>
      <c r="I148" s="58" t="s">
        <v>410</v>
      </c>
      <c r="J148" s="58" t="s">
        <v>411</v>
      </c>
      <c r="K148" s="58" t="s">
        <v>412</v>
      </c>
      <c r="L148" s="58"/>
      <c r="M148" s="58" t="s">
        <v>408</v>
      </c>
      <c r="N148" s="58" t="s">
        <v>409</v>
      </c>
      <c r="R148"/>
    </row>
    <row r="149" spans="1:19" x14ac:dyDescent="0.25">
      <c r="A149" s="82">
        <f>A47+A77+A104+A138</f>
        <v>127</v>
      </c>
      <c r="B149" s="85" t="s">
        <v>222</v>
      </c>
      <c r="C149" s="58">
        <f>SUMIF($H$3:$H$126,"Taip",C3:C126)</f>
        <v>2871</v>
      </c>
      <c r="D149" s="58">
        <f>SUMIF($H$3:$H$126,"Taip",D3:D126)</f>
        <v>123</v>
      </c>
      <c r="E149" s="58"/>
      <c r="F149" s="58"/>
      <c r="G149" s="82">
        <f>G48+G78+G105+G146</f>
        <v>76</v>
      </c>
      <c r="H149" s="82">
        <f>H48+H78+H105+H146</f>
        <v>62</v>
      </c>
      <c r="I149" s="82">
        <f>I48+I78+I105+I146</f>
        <v>59</v>
      </c>
      <c r="J149" s="84">
        <f>J48+J78+J105+J146</f>
        <v>73899995.658363521</v>
      </c>
      <c r="K149" s="84">
        <f>K48+K78+K105+K146</f>
        <v>21402918.110851344</v>
      </c>
      <c r="L149" s="101"/>
      <c r="M149" s="101">
        <f>M48+M78+M105+M146</f>
        <v>44</v>
      </c>
      <c r="N149" s="101">
        <f>N48+N78+N105+N146</f>
        <v>29</v>
      </c>
      <c r="R149"/>
    </row>
    <row r="150" spans="1:19" x14ac:dyDescent="0.25">
      <c r="A150">
        <f>A149-1</f>
        <v>126</v>
      </c>
      <c r="B150" s="58" t="s">
        <v>242</v>
      </c>
      <c r="C150" s="58">
        <f>C149-C8</f>
        <v>2851</v>
      </c>
      <c r="D150" s="58">
        <f>D149-D8</f>
        <v>123</v>
      </c>
      <c r="E150" s="58"/>
      <c r="F150" s="58"/>
      <c r="G150" s="58">
        <f>G149-1</f>
        <v>75</v>
      </c>
      <c r="H150" s="58">
        <f>H149-1</f>
        <v>61</v>
      </c>
      <c r="I150" s="58">
        <f>I149-1</f>
        <v>58</v>
      </c>
      <c r="J150" s="84">
        <f>J149-J8</f>
        <v>72909446.830107525</v>
      </c>
      <c r="K150" s="84">
        <f>K149-K8</f>
        <v>21116035.340851344</v>
      </c>
      <c r="L150" s="58"/>
      <c r="M150" s="108">
        <f>M149</f>
        <v>44</v>
      </c>
      <c r="N150" s="108">
        <f>N149</f>
        <v>29</v>
      </c>
      <c r="R150"/>
    </row>
    <row r="151" spans="1:19" x14ac:dyDescent="0.25">
      <c r="B151" s="47"/>
      <c r="E151" s="2" t="s">
        <v>473</v>
      </c>
      <c r="F151" s="2"/>
      <c r="G151" s="288">
        <f>G149/$A$149</f>
        <v>0.59842519685039375</v>
      </c>
      <c r="H151" s="288">
        <f>H149/$A$149</f>
        <v>0.48818897637795278</v>
      </c>
      <c r="I151" s="288">
        <f>I149/$A$149</f>
        <v>0.46456692913385828</v>
      </c>
      <c r="R151"/>
    </row>
    <row r="152" spans="1:19" s="2" customFormat="1" x14ac:dyDescent="0.25">
      <c r="B152" s="47"/>
      <c r="E152" s="2" t="s">
        <v>474</v>
      </c>
      <c r="G152" s="288">
        <f>G149/($A$47+$A$77+$A$104+$A$116)</f>
        <v>0.72380952380952379</v>
      </c>
      <c r="H152" s="288">
        <f t="shared" ref="H152:N152" si="2">H149/($A$47+$A$77+$A$104+$A$116)</f>
        <v>0.59047619047619049</v>
      </c>
      <c r="I152" s="288">
        <f t="shared" si="2"/>
        <v>0.56190476190476191</v>
      </c>
      <c r="J152" s="288"/>
      <c r="K152" s="288"/>
      <c r="L152" s="288"/>
      <c r="M152" s="288">
        <f t="shared" si="2"/>
        <v>0.41904761904761906</v>
      </c>
      <c r="N152" s="288">
        <f t="shared" si="2"/>
        <v>0.27619047619047621</v>
      </c>
    </row>
    <row r="153" spans="1:19" s="2" customFormat="1" ht="15.75" thickBot="1" x14ac:dyDescent="0.3">
      <c r="B153" s="47"/>
      <c r="G153" s="288"/>
      <c r="H153" s="288"/>
      <c r="I153" s="288"/>
      <c r="J153" s="288"/>
      <c r="K153" s="288"/>
      <c r="L153" s="288"/>
      <c r="M153" s="288"/>
      <c r="N153" s="288"/>
    </row>
    <row r="154" spans="1:19" ht="46.5" customHeight="1" thickBot="1" x14ac:dyDescent="0.3">
      <c r="A154" s="200"/>
      <c r="B154" s="241" t="s">
        <v>399</v>
      </c>
      <c r="C154" s="242" t="s">
        <v>94</v>
      </c>
      <c r="D154" s="242" t="s">
        <v>95</v>
      </c>
      <c r="E154" s="243"/>
      <c r="F154" s="242" t="s">
        <v>400</v>
      </c>
      <c r="G154" s="242" t="s">
        <v>401</v>
      </c>
      <c r="R154"/>
    </row>
    <row r="155" spans="1:19" x14ac:dyDescent="0.25">
      <c r="A155" s="9">
        <v>1</v>
      </c>
      <c r="B155" s="104" t="s">
        <v>397</v>
      </c>
      <c r="C155" s="9">
        <v>45</v>
      </c>
      <c r="D155" s="9">
        <v>1</v>
      </c>
      <c r="E155" s="9"/>
      <c r="F155" s="201">
        <v>42109</v>
      </c>
      <c r="G155" s="196">
        <v>0.311</v>
      </c>
      <c r="R155"/>
    </row>
    <row r="156" spans="1:19" x14ac:dyDescent="0.25">
      <c r="A156" s="3">
        <v>2</v>
      </c>
      <c r="B156" s="74" t="s">
        <v>403</v>
      </c>
      <c r="C156" s="3">
        <v>30</v>
      </c>
      <c r="D156" s="3">
        <v>0</v>
      </c>
      <c r="E156" s="3"/>
      <c r="F156" s="128">
        <v>42233</v>
      </c>
      <c r="G156" s="186" t="s">
        <v>402</v>
      </c>
      <c r="R156"/>
    </row>
    <row r="157" spans="1:19" ht="14.25" customHeight="1" x14ac:dyDescent="0.25">
      <c r="A157" s="3">
        <v>3</v>
      </c>
      <c r="B157" s="74" t="s">
        <v>398</v>
      </c>
      <c r="C157" s="3">
        <v>45</v>
      </c>
      <c r="D157" s="3">
        <v>2</v>
      </c>
      <c r="E157" s="3"/>
      <c r="F157" s="128">
        <v>42261</v>
      </c>
      <c r="G157" s="186">
        <v>0.311</v>
      </c>
      <c r="H157" s="2"/>
      <c r="I157" s="117"/>
      <c r="K157" s="1"/>
      <c r="R157"/>
    </row>
    <row r="158" spans="1:19" x14ac:dyDescent="0.25">
      <c r="A158" s="3">
        <v>4</v>
      </c>
      <c r="B158" s="74" t="s">
        <v>420</v>
      </c>
      <c r="C158" s="3">
        <v>45</v>
      </c>
      <c r="D158" s="3">
        <v>3</v>
      </c>
      <c r="E158" s="3"/>
      <c r="F158" s="128">
        <v>42404</v>
      </c>
      <c r="G158" s="186"/>
      <c r="H158" s="2"/>
      <c r="I158" s="118"/>
      <c r="K158" s="2"/>
      <c r="R158"/>
    </row>
    <row r="159" spans="1:19" x14ac:dyDescent="0.25">
      <c r="A159" s="3">
        <v>5</v>
      </c>
      <c r="B159" s="74" t="s">
        <v>403</v>
      </c>
      <c r="C159" s="3">
        <v>30</v>
      </c>
      <c r="D159" s="3">
        <v>0</v>
      </c>
      <c r="E159" s="3"/>
      <c r="F159" s="128">
        <v>42430</v>
      </c>
      <c r="G159" s="186" t="s">
        <v>402</v>
      </c>
      <c r="R159"/>
    </row>
    <row r="160" spans="1:19" x14ac:dyDescent="0.25">
      <c r="A160" s="3">
        <v>6</v>
      </c>
      <c r="B160" s="74" t="s">
        <v>429</v>
      </c>
      <c r="C160" s="3">
        <v>54</v>
      </c>
      <c r="D160" s="3">
        <v>2</v>
      </c>
      <c r="E160" s="3"/>
      <c r="F160" s="128">
        <v>42493</v>
      </c>
      <c r="G160" s="186">
        <f>20/C160</f>
        <v>0.37037037037037035</v>
      </c>
      <c r="R160"/>
    </row>
    <row r="161" spans="1:18" x14ac:dyDescent="0.25">
      <c r="A161" s="3">
        <v>9</v>
      </c>
      <c r="B161" s="74" t="s">
        <v>433</v>
      </c>
      <c r="C161" s="3">
        <v>100</v>
      </c>
      <c r="D161" s="73">
        <v>10</v>
      </c>
      <c r="E161" s="3"/>
      <c r="F161" s="142">
        <v>42520</v>
      </c>
      <c r="G161" s="186">
        <f>30/C161</f>
        <v>0.3</v>
      </c>
      <c r="R161"/>
    </row>
    <row r="162" spans="1:18" x14ac:dyDescent="0.25">
      <c r="A162" s="3">
        <v>10</v>
      </c>
      <c r="B162" s="74" t="s">
        <v>434</v>
      </c>
      <c r="C162" s="73">
        <v>75</v>
      </c>
      <c r="D162" s="73">
        <v>2</v>
      </c>
      <c r="E162" s="3"/>
      <c r="F162" s="142">
        <v>42522</v>
      </c>
      <c r="G162" s="186">
        <f>17/C162</f>
        <v>0.22666666666666666</v>
      </c>
      <c r="R162"/>
    </row>
    <row r="163" spans="1:18" s="2" customFormat="1" x14ac:dyDescent="0.25">
      <c r="A163" s="3">
        <v>11</v>
      </c>
      <c r="B163" s="74" t="s">
        <v>461</v>
      </c>
      <c r="C163" s="73">
        <v>54</v>
      </c>
      <c r="D163" s="73">
        <v>0</v>
      </c>
      <c r="E163" s="3"/>
      <c r="F163" s="128">
        <v>42528</v>
      </c>
      <c r="G163" s="186">
        <f>13/C163</f>
        <v>0.24074074074074073</v>
      </c>
    </row>
    <row r="164" spans="1:18" x14ac:dyDescent="0.25">
      <c r="A164" s="3">
        <v>12</v>
      </c>
      <c r="B164" s="74" t="s">
        <v>464</v>
      </c>
      <c r="C164" s="73">
        <v>54</v>
      </c>
      <c r="D164" s="73">
        <v>4</v>
      </c>
      <c r="E164" s="3"/>
      <c r="F164" s="264">
        <v>42529</v>
      </c>
      <c r="G164" s="186">
        <f>12/C164</f>
        <v>0.22222222222222221</v>
      </c>
      <c r="J164"/>
      <c r="L164"/>
      <c r="M164"/>
      <c r="N164"/>
      <c r="R164"/>
    </row>
    <row r="165" spans="1:18" s="2" customFormat="1" x14ac:dyDescent="0.25">
      <c r="A165" s="3">
        <v>13</v>
      </c>
      <c r="B165" s="5" t="s">
        <v>448</v>
      </c>
      <c r="C165" s="73">
        <v>45</v>
      </c>
      <c r="D165" s="73">
        <v>1</v>
      </c>
      <c r="E165" s="3"/>
      <c r="F165" s="264">
        <v>42536</v>
      </c>
      <c r="G165" s="186">
        <f>15/C165</f>
        <v>0.33333333333333331</v>
      </c>
    </row>
    <row r="166" spans="1:18" s="2" customFormat="1" x14ac:dyDescent="0.25">
      <c r="A166" s="3">
        <v>14</v>
      </c>
      <c r="B166" s="126" t="s">
        <v>444</v>
      </c>
      <c r="C166" s="73">
        <v>60</v>
      </c>
      <c r="D166" s="73">
        <v>2</v>
      </c>
      <c r="E166" s="3"/>
      <c r="F166" s="313">
        <v>42542</v>
      </c>
      <c r="G166" s="186">
        <f>20/C166</f>
        <v>0.33333333333333331</v>
      </c>
    </row>
    <row r="167" spans="1:18" s="2" customFormat="1" x14ac:dyDescent="0.25">
      <c r="A167" s="3">
        <v>15</v>
      </c>
      <c r="B167" s="114" t="s">
        <v>446</v>
      </c>
      <c r="C167" s="85">
        <v>60</v>
      </c>
      <c r="D167" s="58">
        <v>1</v>
      </c>
      <c r="E167" s="58"/>
      <c r="F167" s="264">
        <v>42550</v>
      </c>
      <c r="G167" s="186">
        <f>15/C167</f>
        <v>0.25</v>
      </c>
    </row>
    <row r="168" spans="1:18" s="2" customFormat="1" x14ac:dyDescent="0.25">
      <c r="A168" s="3">
        <v>16</v>
      </c>
      <c r="B168" s="114" t="s">
        <v>450</v>
      </c>
      <c r="C168" s="58">
        <v>100</v>
      </c>
      <c r="D168" s="58">
        <v>1</v>
      </c>
      <c r="E168" s="58"/>
      <c r="F168" s="264">
        <v>42550</v>
      </c>
      <c r="G168" s="186">
        <f>29/C168</f>
        <v>0.28999999999999998</v>
      </c>
    </row>
    <row r="169" spans="1:18" s="2" customFormat="1" x14ac:dyDescent="0.25">
      <c r="A169" s="3">
        <v>17</v>
      </c>
      <c r="B169" s="114" t="s">
        <v>447</v>
      </c>
      <c r="C169" s="85">
        <v>60</v>
      </c>
      <c r="D169" s="58">
        <v>2</v>
      </c>
      <c r="E169" s="58"/>
      <c r="F169" s="264">
        <v>42551</v>
      </c>
      <c r="G169" s="232" t="s">
        <v>402</v>
      </c>
    </row>
    <row r="170" spans="1:18" s="2" customFormat="1" x14ac:dyDescent="0.25">
      <c r="A170" s="3">
        <v>18</v>
      </c>
      <c r="B170" s="114" t="s">
        <v>452</v>
      </c>
      <c r="C170" s="58">
        <v>100</v>
      </c>
      <c r="D170" s="58">
        <v>6</v>
      </c>
      <c r="E170" s="58"/>
      <c r="F170" s="264">
        <v>42551</v>
      </c>
      <c r="G170" s="232" t="s">
        <v>402</v>
      </c>
    </row>
    <row r="171" spans="1:18" s="2" customFormat="1" x14ac:dyDescent="0.25">
      <c r="A171" s="3">
        <v>19</v>
      </c>
      <c r="B171" s="114" t="s">
        <v>458</v>
      </c>
      <c r="C171" s="58">
        <v>45</v>
      </c>
      <c r="D171" s="58">
        <v>0</v>
      </c>
      <c r="E171" s="58"/>
      <c r="F171" s="264">
        <v>42551</v>
      </c>
      <c r="G171" s="232" t="s">
        <v>402</v>
      </c>
    </row>
    <row r="172" spans="1:18" s="2" customFormat="1" x14ac:dyDescent="0.25">
      <c r="A172" s="7">
        <v>20</v>
      </c>
      <c r="B172" s="331" t="s">
        <v>468</v>
      </c>
      <c r="C172" s="79">
        <v>45</v>
      </c>
      <c r="D172" s="79">
        <v>1</v>
      </c>
      <c r="E172" s="79"/>
      <c r="F172" s="330">
        <v>42555</v>
      </c>
      <c r="G172" s="232" t="s">
        <v>402</v>
      </c>
    </row>
    <row r="173" spans="1:18" s="2" customFormat="1" x14ac:dyDescent="0.25">
      <c r="A173" s="3">
        <v>21</v>
      </c>
      <c r="B173" s="85" t="s">
        <v>453</v>
      </c>
      <c r="C173" s="58">
        <v>100</v>
      </c>
      <c r="D173" s="85">
        <v>4</v>
      </c>
      <c r="E173" s="58"/>
      <c r="F173" s="120">
        <v>42584</v>
      </c>
      <c r="G173" s="232" t="s">
        <v>402</v>
      </c>
    </row>
    <row r="174" spans="1:18" s="2" customFormat="1" x14ac:dyDescent="0.25">
      <c r="A174" s="3">
        <v>24</v>
      </c>
      <c r="B174" s="85" t="s">
        <v>434</v>
      </c>
      <c r="C174" s="85">
        <v>75</v>
      </c>
      <c r="D174" s="85">
        <v>2</v>
      </c>
      <c r="E174" s="58"/>
      <c r="F174" s="120">
        <v>42592</v>
      </c>
      <c r="G174" s="1"/>
    </row>
    <row r="175" spans="1:18" s="2" customFormat="1" x14ac:dyDescent="0.25">
      <c r="A175" s="7">
        <v>25</v>
      </c>
      <c r="B175" s="328" t="s">
        <v>483</v>
      </c>
      <c r="F175" s="342">
        <v>42676</v>
      </c>
      <c r="G175" s="1"/>
    </row>
    <row r="176" spans="1:18" s="2" customFormat="1" x14ac:dyDescent="0.25">
      <c r="A176" s="203">
        <v>26</v>
      </c>
      <c r="B176" s="328" t="s">
        <v>484</v>
      </c>
      <c r="F176" s="342">
        <v>42681</v>
      </c>
      <c r="G176" s="1"/>
    </row>
    <row r="177" spans="1:18" s="2" customFormat="1" x14ac:dyDescent="0.25">
      <c r="A177" s="1"/>
    </row>
    <row r="178" spans="1:18" ht="16.5" thickBot="1" x14ac:dyDescent="0.3">
      <c r="B178" s="100" t="s">
        <v>436</v>
      </c>
      <c r="C178" t="s">
        <v>435</v>
      </c>
      <c r="J178"/>
      <c r="L178"/>
      <c r="M178"/>
      <c r="N178"/>
      <c r="R178"/>
    </row>
    <row r="179" spans="1:18" ht="60.75" thickBot="1" x14ac:dyDescent="0.3">
      <c r="A179" s="36" t="s">
        <v>0</v>
      </c>
      <c r="B179" s="294" t="s">
        <v>1</v>
      </c>
      <c r="C179" s="53" t="s">
        <v>94</v>
      </c>
      <c r="D179" s="53" t="s">
        <v>95</v>
      </c>
      <c r="E179" s="53" t="s">
        <v>449</v>
      </c>
      <c r="F179" s="53" t="s">
        <v>465</v>
      </c>
      <c r="J179"/>
      <c r="L179"/>
      <c r="M179"/>
      <c r="N179"/>
      <c r="R179"/>
    </row>
    <row r="180" spans="1:18" x14ac:dyDescent="0.25">
      <c r="A180" s="295">
        <v>1</v>
      </c>
      <c r="B180" s="298" t="s">
        <v>428</v>
      </c>
      <c r="C180">
        <v>45</v>
      </c>
      <c r="D180" s="298">
        <v>1</v>
      </c>
      <c r="E180" s="295">
        <v>1969</v>
      </c>
      <c r="F180" t="s">
        <v>462</v>
      </c>
      <c r="H180">
        <v>1</v>
      </c>
      <c r="J180"/>
      <c r="L180"/>
      <c r="M180"/>
      <c r="N180"/>
      <c r="R180"/>
    </row>
    <row r="181" spans="1:18" x14ac:dyDescent="0.25">
      <c r="A181" s="296">
        <v>2</v>
      </c>
      <c r="B181" s="299" t="s">
        <v>437</v>
      </c>
      <c r="C181">
        <v>60</v>
      </c>
      <c r="D181" s="299">
        <v>1</v>
      </c>
      <c r="E181" s="296">
        <v>1974</v>
      </c>
      <c r="H181">
        <v>6</v>
      </c>
      <c r="J181"/>
      <c r="L181"/>
      <c r="M181"/>
      <c r="N181"/>
      <c r="R181"/>
    </row>
    <row r="182" spans="1:18" x14ac:dyDescent="0.25">
      <c r="A182" s="296">
        <v>3</v>
      </c>
      <c r="B182" s="299" t="s">
        <v>438</v>
      </c>
      <c r="C182">
        <v>100</v>
      </c>
      <c r="D182" s="299">
        <v>5</v>
      </c>
      <c r="E182" s="296">
        <v>1973</v>
      </c>
      <c r="H182">
        <v>5</v>
      </c>
      <c r="J182"/>
      <c r="L182"/>
      <c r="M182"/>
      <c r="N182"/>
      <c r="R182"/>
    </row>
    <row r="183" spans="1:18" x14ac:dyDescent="0.25">
      <c r="A183" s="296">
        <v>4</v>
      </c>
      <c r="B183" s="299" t="s">
        <v>439</v>
      </c>
      <c r="C183">
        <v>45</v>
      </c>
      <c r="D183" s="299">
        <v>2</v>
      </c>
      <c r="E183" s="296">
        <v>1978</v>
      </c>
      <c r="H183">
        <v>10</v>
      </c>
      <c r="J183"/>
      <c r="L183"/>
      <c r="M183"/>
      <c r="N183"/>
      <c r="R183"/>
    </row>
    <row r="184" spans="1:18" x14ac:dyDescent="0.25">
      <c r="A184" s="296">
        <v>5</v>
      </c>
      <c r="B184" s="299" t="s">
        <v>440</v>
      </c>
      <c r="C184">
        <v>100</v>
      </c>
      <c r="D184" s="299">
        <v>4</v>
      </c>
      <c r="E184" s="300">
        <v>1966</v>
      </c>
      <c r="H184">
        <v>2</v>
      </c>
      <c r="J184"/>
      <c r="L184"/>
      <c r="M184"/>
      <c r="N184"/>
      <c r="R184"/>
    </row>
    <row r="185" spans="1:18" x14ac:dyDescent="0.25">
      <c r="A185" s="296">
        <v>6</v>
      </c>
      <c r="B185" s="299" t="s">
        <v>441</v>
      </c>
      <c r="C185">
        <v>45</v>
      </c>
      <c r="D185" s="299">
        <v>0</v>
      </c>
      <c r="E185" s="300">
        <v>1978</v>
      </c>
      <c r="H185">
        <v>9</v>
      </c>
      <c r="J185"/>
      <c r="L185"/>
      <c r="M185"/>
      <c r="N185"/>
      <c r="R185"/>
    </row>
    <row r="186" spans="1:18" x14ac:dyDescent="0.25">
      <c r="A186" s="296">
        <v>7</v>
      </c>
      <c r="B186" s="299" t="s">
        <v>397</v>
      </c>
      <c r="C186">
        <v>45</v>
      </c>
      <c r="D186" s="299">
        <v>1</v>
      </c>
      <c r="E186" s="300">
        <v>1976</v>
      </c>
      <c r="F186" t="s">
        <v>462</v>
      </c>
      <c r="H186">
        <v>7</v>
      </c>
      <c r="J186"/>
      <c r="L186"/>
      <c r="M186"/>
      <c r="N186"/>
      <c r="R186"/>
    </row>
    <row r="187" spans="1:18" x14ac:dyDescent="0.25">
      <c r="A187" s="296">
        <v>8</v>
      </c>
      <c r="B187" s="299" t="s">
        <v>442</v>
      </c>
      <c r="C187">
        <v>45</v>
      </c>
      <c r="D187" s="299">
        <v>1</v>
      </c>
      <c r="E187" s="300">
        <v>1976</v>
      </c>
      <c r="H187">
        <v>8</v>
      </c>
      <c r="J187"/>
      <c r="L187"/>
      <c r="M187"/>
      <c r="N187"/>
      <c r="R187"/>
    </row>
    <row r="188" spans="1:18" x14ac:dyDescent="0.25">
      <c r="A188" s="296">
        <v>9</v>
      </c>
      <c r="B188" s="299" t="s">
        <v>443</v>
      </c>
      <c r="C188">
        <v>50</v>
      </c>
      <c r="D188" s="299">
        <v>0</v>
      </c>
      <c r="E188" s="300">
        <v>1970</v>
      </c>
      <c r="H188">
        <v>4</v>
      </c>
      <c r="J188"/>
      <c r="L188"/>
      <c r="M188"/>
      <c r="N188"/>
      <c r="R188"/>
    </row>
    <row r="189" spans="1:18" x14ac:dyDescent="0.25">
      <c r="A189" s="297">
        <v>10</v>
      </c>
      <c r="B189" s="275" t="s">
        <v>444</v>
      </c>
      <c r="C189" s="126">
        <v>60</v>
      </c>
      <c r="D189" s="275">
        <v>2</v>
      </c>
      <c r="E189" s="297">
        <v>1968</v>
      </c>
      <c r="F189" t="s">
        <v>462</v>
      </c>
      <c r="H189">
        <v>3</v>
      </c>
      <c r="J189"/>
      <c r="L189"/>
      <c r="M189"/>
      <c r="N189"/>
      <c r="R189"/>
    </row>
    <row r="190" spans="1:18" s="2" customFormat="1" x14ac:dyDescent="0.25">
      <c r="A190" s="296">
        <v>11</v>
      </c>
      <c r="B190" s="299" t="s">
        <v>466</v>
      </c>
      <c r="C190" s="47">
        <v>8</v>
      </c>
      <c r="D190" s="299">
        <v>0</v>
      </c>
      <c r="E190" s="296">
        <v>1955</v>
      </c>
    </row>
    <row r="191" spans="1:18" s="2" customFormat="1" x14ac:dyDescent="0.25">
      <c r="A191" s="296">
        <v>12</v>
      </c>
      <c r="B191" s="299" t="s">
        <v>467</v>
      </c>
      <c r="C191" s="1">
        <v>7</v>
      </c>
      <c r="D191" s="299">
        <v>0</v>
      </c>
      <c r="E191" s="296">
        <v>1959</v>
      </c>
    </row>
    <row r="192" spans="1:18" s="2" customFormat="1" x14ac:dyDescent="0.25">
      <c r="A192" s="297">
        <v>13</v>
      </c>
      <c r="B192" s="275" t="s">
        <v>469</v>
      </c>
      <c r="C192" s="126"/>
      <c r="D192" s="275"/>
      <c r="E192" s="297"/>
    </row>
    <row r="193" spans="1:18" x14ac:dyDescent="0.25">
      <c r="A193" s="296">
        <v>13</v>
      </c>
      <c r="B193" s="299" t="s">
        <v>447</v>
      </c>
      <c r="C193" s="47">
        <v>60</v>
      </c>
      <c r="D193" s="299">
        <v>2</v>
      </c>
      <c r="E193" s="296">
        <v>1970</v>
      </c>
      <c r="F193" s="2" t="s">
        <v>462</v>
      </c>
      <c r="H193">
        <v>11</v>
      </c>
      <c r="J193"/>
      <c r="L193"/>
      <c r="M193"/>
      <c r="N193"/>
      <c r="R193"/>
    </row>
    <row r="194" spans="1:18" x14ac:dyDescent="0.25">
      <c r="A194" s="297">
        <v>14</v>
      </c>
      <c r="B194" s="299" t="s">
        <v>445</v>
      </c>
      <c r="C194" s="47">
        <v>60</v>
      </c>
      <c r="D194" s="299">
        <v>1</v>
      </c>
      <c r="E194" s="296">
        <v>1971</v>
      </c>
      <c r="H194">
        <v>12</v>
      </c>
      <c r="J194"/>
      <c r="L194"/>
      <c r="M194"/>
      <c r="N194"/>
      <c r="R194"/>
    </row>
    <row r="195" spans="1:18" x14ac:dyDescent="0.25">
      <c r="A195" s="296">
        <v>15</v>
      </c>
      <c r="B195" s="299" t="s">
        <v>446</v>
      </c>
      <c r="C195" s="47">
        <v>60</v>
      </c>
      <c r="D195" s="299">
        <v>1</v>
      </c>
      <c r="E195" s="296">
        <v>1972</v>
      </c>
      <c r="F195" t="s">
        <v>462</v>
      </c>
      <c r="H195">
        <v>13</v>
      </c>
      <c r="J195"/>
      <c r="L195"/>
      <c r="M195"/>
      <c r="N195"/>
      <c r="R195"/>
    </row>
    <row r="196" spans="1:18" x14ac:dyDescent="0.25">
      <c r="A196" s="297">
        <v>16</v>
      </c>
      <c r="B196" s="299" t="s">
        <v>448</v>
      </c>
      <c r="C196" s="47">
        <v>45</v>
      </c>
      <c r="D196" s="299">
        <v>1</v>
      </c>
      <c r="E196" s="296">
        <v>1974</v>
      </c>
      <c r="F196" s="2" t="s">
        <v>462</v>
      </c>
      <c r="H196">
        <v>14</v>
      </c>
      <c r="J196"/>
      <c r="L196"/>
      <c r="M196"/>
      <c r="N196"/>
      <c r="R196"/>
    </row>
    <row r="197" spans="1:18" s="2" customFormat="1" x14ac:dyDescent="0.25">
      <c r="A197" s="296">
        <v>17</v>
      </c>
      <c r="B197" s="299" t="s">
        <v>433</v>
      </c>
      <c r="C197" s="2">
        <v>100</v>
      </c>
      <c r="D197" s="299">
        <v>10</v>
      </c>
      <c r="E197" s="296">
        <v>1972</v>
      </c>
      <c r="F197" s="2" t="s">
        <v>462</v>
      </c>
      <c r="H197" s="2">
        <v>17</v>
      </c>
    </row>
    <row r="198" spans="1:18" x14ac:dyDescent="0.25">
      <c r="A198" s="297">
        <v>18</v>
      </c>
      <c r="B198" s="299" t="s">
        <v>450</v>
      </c>
      <c r="C198">
        <v>100</v>
      </c>
      <c r="D198" s="299">
        <v>1</v>
      </c>
      <c r="E198" s="296">
        <v>1970</v>
      </c>
      <c r="F198" t="s">
        <v>462</v>
      </c>
      <c r="H198">
        <v>15</v>
      </c>
      <c r="J198"/>
      <c r="L198"/>
      <c r="M198"/>
      <c r="N198"/>
      <c r="R198"/>
    </row>
    <row r="199" spans="1:18" x14ac:dyDescent="0.25">
      <c r="A199" s="296">
        <v>19</v>
      </c>
      <c r="B199" s="299" t="s">
        <v>452</v>
      </c>
      <c r="C199">
        <v>100</v>
      </c>
      <c r="D199" s="299">
        <v>6</v>
      </c>
      <c r="E199" s="296">
        <v>1973</v>
      </c>
      <c r="F199" s="2" t="s">
        <v>462</v>
      </c>
      <c r="H199">
        <v>19</v>
      </c>
      <c r="J199"/>
      <c r="L199"/>
      <c r="M199"/>
      <c r="N199"/>
      <c r="R199"/>
    </row>
    <row r="200" spans="1:18" x14ac:dyDescent="0.25">
      <c r="A200" s="297">
        <v>20</v>
      </c>
      <c r="B200" s="299" t="s">
        <v>453</v>
      </c>
      <c r="C200">
        <v>100</v>
      </c>
      <c r="D200" s="299">
        <v>4</v>
      </c>
      <c r="E200" s="296">
        <v>1972</v>
      </c>
      <c r="F200" s="2" t="s">
        <v>462</v>
      </c>
      <c r="H200">
        <v>18</v>
      </c>
      <c r="J200"/>
      <c r="L200"/>
      <c r="M200"/>
      <c r="N200"/>
      <c r="R200"/>
    </row>
    <row r="201" spans="1:18" x14ac:dyDescent="0.25">
      <c r="A201" s="296">
        <v>21</v>
      </c>
      <c r="B201" s="299" t="s">
        <v>451</v>
      </c>
      <c r="C201">
        <v>50</v>
      </c>
      <c r="D201" s="299">
        <v>5</v>
      </c>
      <c r="E201" s="296">
        <v>1971</v>
      </c>
      <c r="H201">
        <v>16</v>
      </c>
      <c r="J201"/>
      <c r="L201"/>
      <c r="M201"/>
      <c r="N201"/>
      <c r="R201"/>
    </row>
    <row r="202" spans="1:18" x14ac:dyDescent="0.25">
      <c r="A202" s="297">
        <v>22</v>
      </c>
      <c r="B202" s="299" t="s">
        <v>454</v>
      </c>
      <c r="C202">
        <v>45</v>
      </c>
      <c r="D202" s="299">
        <v>2</v>
      </c>
      <c r="E202" s="296">
        <v>1976</v>
      </c>
      <c r="H202">
        <v>23</v>
      </c>
      <c r="J202"/>
      <c r="L202"/>
      <c r="M202"/>
      <c r="N202"/>
      <c r="R202"/>
    </row>
    <row r="203" spans="1:18" x14ac:dyDescent="0.25">
      <c r="A203" s="296">
        <v>23</v>
      </c>
      <c r="B203" s="299" t="s">
        <v>455</v>
      </c>
      <c r="C203">
        <v>20</v>
      </c>
      <c r="D203" s="299">
        <v>0</v>
      </c>
      <c r="E203" s="296">
        <v>1978</v>
      </c>
      <c r="H203">
        <v>26</v>
      </c>
      <c r="J203"/>
      <c r="L203"/>
      <c r="M203"/>
      <c r="N203"/>
      <c r="R203"/>
    </row>
    <row r="204" spans="1:18" x14ac:dyDescent="0.25">
      <c r="A204" s="297">
        <v>24</v>
      </c>
      <c r="B204" s="299" t="s">
        <v>456</v>
      </c>
      <c r="C204">
        <v>45</v>
      </c>
      <c r="D204" s="299">
        <v>2</v>
      </c>
      <c r="E204" s="296">
        <v>1975</v>
      </c>
      <c r="H204">
        <v>20</v>
      </c>
      <c r="J204"/>
      <c r="L204"/>
      <c r="M204"/>
      <c r="N204"/>
      <c r="R204"/>
    </row>
    <row r="205" spans="1:18" x14ac:dyDescent="0.25">
      <c r="A205" s="296">
        <v>25</v>
      </c>
      <c r="B205" s="299" t="s">
        <v>457</v>
      </c>
      <c r="C205">
        <v>45</v>
      </c>
      <c r="D205" s="299">
        <v>0</v>
      </c>
      <c r="E205" s="296">
        <v>1976</v>
      </c>
      <c r="H205">
        <v>24</v>
      </c>
      <c r="J205"/>
      <c r="L205"/>
      <c r="M205"/>
      <c r="N205"/>
      <c r="R205"/>
    </row>
    <row r="206" spans="1:18" x14ac:dyDescent="0.25">
      <c r="A206" s="297">
        <v>26</v>
      </c>
      <c r="B206" s="299" t="s">
        <v>458</v>
      </c>
      <c r="C206">
        <v>45</v>
      </c>
      <c r="D206" s="299">
        <v>0</v>
      </c>
      <c r="E206" s="296">
        <v>1976</v>
      </c>
      <c r="F206" s="2" t="s">
        <v>462</v>
      </c>
      <c r="H206">
        <v>21</v>
      </c>
      <c r="J206"/>
      <c r="L206"/>
      <c r="M206"/>
      <c r="N206"/>
      <c r="R206"/>
    </row>
    <row r="207" spans="1:18" x14ac:dyDescent="0.25">
      <c r="A207" s="296">
        <v>27</v>
      </c>
      <c r="B207" s="299" t="s">
        <v>434</v>
      </c>
      <c r="C207">
        <v>75</v>
      </c>
      <c r="D207" s="299">
        <v>2</v>
      </c>
      <c r="E207" s="296">
        <v>1976</v>
      </c>
      <c r="F207" t="s">
        <v>462</v>
      </c>
      <c r="H207">
        <v>22</v>
      </c>
      <c r="J207"/>
      <c r="L207"/>
      <c r="M207"/>
      <c r="N207"/>
      <c r="R207"/>
    </row>
    <row r="208" spans="1:18" x14ac:dyDescent="0.25">
      <c r="A208" s="297">
        <v>28</v>
      </c>
      <c r="B208" s="299" t="s">
        <v>459</v>
      </c>
      <c r="C208">
        <v>75</v>
      </c>
      <c r="D208" s="299">
        <v>0</v>
      </c>
      <c r="E208" s="296">
        <v>1984</v>
      </c>
      <c r="H208">
        <v>28</v>
      </c>
      <c r="J208"/>
      <c r="L208"/>
      <c r="M208"/>
      <c r="N208"/>
      <c r="R208"/>
    </row>
    <row r="209" spans="1:18" x14ac:dyDescent="0.25">
      <c r="A209" s="296">
        <v>29</v>
      </c>
      <c r="B209" s="299" t="s">
        <v>461</v>
      </c>
      <c r="C209">
        <v>54</v>
      </c>
      <c r="D209" s="299">
        <v>0</v>
      </c>
      <c r="E209" s="296">
        <v>1977</v>
      </c>
      <c r="F209" t="s">
        <v>462</v>
      </c>
      <c r="H209">
        <v>25</v>
      </c>
      <c r="J209"/>
      <c r="L209"/>
      <c r="M209"/>
      <c r="N209"/>
      <c r="R209"/>
    </row>
    <row r="210" spans="1:18" x14ac:dyDescent="0.25">
      <c r="A210" s="297">
        <v>30</v>
      </c>
      <c r="B210" s="275" t="s">
        <v>460</v>
      </c>
      <c r="C210" s="126">
        <v>54</v>
      </c>
      <c r="D210" s="275">
        <v>1</v>
      </c>
      <c r="E210" s="297">
        <v>1978</v>
      </c>
      <c r="H210">
        <v>27</v>
      </c>
      <c r="J210"/>
      <c r="L210"/>
      <c r="M210"/>
      <c r="N210"/>
      <c r="R210"/>
    </row>
  </sheetData>
  <mergeCells count="3">
    <mergeCell ref="A1:B1"/>
    <mergeCell ref="A49:B49"/>
    <mergeCell ref="A79:B79"/>
  </mergeCells>
  <pageMargins left="0.25" right="0.25" top="0.75" bottom="0.75" header="0.3" footer="0.3"/>
  <pageSetup paperSize="9" scale="66" fitToHeight="0" orientation="landscape" horizontalDpi="300" verticalDpi="300" r:id="rId1"/>
  <headerFooter differentFirst="1">
    <oddHeader>&amp;C&amp;P</oddHeader>
  </headerFooter>
  <rowBreaks count="2" manualBreakCount="2">
    <brk id="48" max="18" man="1"/>
    <brk id="94" max="1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2</vt:i4>
      </vt:variant>
    </vt:vector>
  </HeadingPairs>
  <TitlesOfParts>
    <vt:vector size="6" baseType="lpstr">
      <vt:lpstr>Bendras sąrašas</vt:lpstr>
      <vt:lpstr>Po susirinkimų</vt:lpstr>
      <vt:lpstr>Savivaldybės butai II</vt:lpstr>
      <vt:lpstr>Senas sąrašas</vt:lpstr>
      <vt:lpstr>'Bendras sąrašas'!Print_Area</vt:lpstr>
      <vt:lpstr>'Senas sąrašas'!Print_Area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2021-04-12T07:42:00Z</dcterms:modified>
</cp:coreProperties>
</file>